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0" yWindow="0" windowWidth="20490" windowHeight="7155"/>
  </bookViews>
  <sheets>
    <sheet name="январь 2018г" sheetId="1" r:id="rId1"/>
    <sheet name="Лист2" sheetId="2" r:id="rId2"/>
  </sheets>
  <definedNames>
    <definedName name="_xlnm.Print_Area" localSheetId="0">'январь 2018г'!$A$1:$K$754</definedName>
  </definedNames>
  <calcPr calcId="125725"/>
</workbook>
</file>

<file path=xl/calcChain.xml><?xml version="1.0" encoding="utf-8"?>
<calcChain xmlns="http://schemas.openxmlformats.org/spreadsheetml/2006/main">
  <c r="H253" i="1"/>
  <c r="J754" l="1"/>
  <c r="F190" l="1"/>
  <c r="I753"/>
  <c r="H753"/>
  <c r="I752"/>
  <c r="H752"/>
  <c r="I751"/>
  <c r="H751"/>
  <c r="F673"/>
  <c r="F672"/>
  <c r="F442"/>
  <c r="H214"/>
  <c r="I97"/>
  <c r="F96"/>
  <c r="F51"/>
  <c r="H51"/>
  <c r="I51"/>
  <c r="F50"/>
  <c r="I264" l="1"/>
  <c r="I750" l="1"/>
  <c r="I739"/>
  <c r="I732"/>
  <c r="I725"/>
  <c r="I622" l="1"/>
  <c r="I564"/>
  <c r="I557"/>
  <c r="I547"/>
  <c r="H547"/>
  <c r="H533"/>
  <c r="H526"/>
  <c r="H514"/>
  <c r="I426"/>
  <c r="I404"/>
  <c r="H346"/>
  <c r="I335"/>
  <c r="H314"/>
  <c r="H292"/>
  <c r="H284"/>
  <c r="H279"/>
  <c r="I259"/>
  <c r="H259"/>
  <c r="I254"/>
  <c r="I249"/>
  <c r="I241"/>
  <c r="I218"/>
  <c r="I212"/>
  <c r="H187"/>
  <c r="I153"/>
  <c r="H146"/>
  <c r="H77"/>
  <c r="I72"/>
  <c r="H49"/>
  <c r="H52"/>
  <c r="H53" s="1"/>
  <c r="I53"/>
  <c r="G53"/>
  <c r="F52" l="1"/>
  <c r="F53" s="1"/>
  <c r="H678"/>
  <c r="J699" l="1"/>
  <c r="J692"/>
  <c r="J685"/>
  <c r="J746" l="1"/>
  <c r="H669"/>
  <c r="H617"/>
  <c r="H600"/>
  <c r="H583"/>
  <c r="H471"/>
  <c r="H370"/>
  <c r="I309"/>
  <c r="I226" l="1"/>
  <c r="H226"/>
  <c r="I224"/>
  <c r="H224"/>
  <c r="F235"/>
  <c r="F404" l="1"/>
  <c r="I231"/>
  <c r="H231"/>
  <c r="F230"/>
  <c r="F231" s="1"/>
  <c r="P547"/>
  <c r="S547" s="1"/>
  <c r="I675"/>
  <c r="I678" s="1"/>
  <c r="F671"/>
  <c r="F675" s="1"/>
  <c r="F678" s="1"/>
  <c r="I374"/>
  <c r="O547" l="1"/>
  <c r="I229" l="1"/>
  <c r="H229"/>
  <c r="F228"/>
  <c r="F229" s="1"/>
  <c r="I744" l="1"/>
  <c r="H744"/>
  <c r="J743"/>
  <c r="I743"/>
  <c r="H743"/>
  <c r="F742"/>
  <c r="F741"/>
  <c r="F740"/>
  <c r="F739"/>
  <c r="I737"/>
  <c r="H737"/>
  <c r="I730"/>
  <c r="H730"/>
  <c r="J736"/>
  <c r="I736"/>
  <c r="H736"/>
  <c r="F735"/>
  <c r="F734"/>
  <c r="F733"/>
  <c r="F732"/>
  <c r="H729"/>
  <c r="F728"/>
  <c r="F727"/>
  <c r="J729"/>
  <c r="F725"/>
  <c r="F515"/>
  <c r="F517"/>
  <c r="I516"/>
  <c r="I518" s="1"/>
  <c r="I355"/>
  <c r="H355"/>
  <c r="F354"/>
  <c r="F353"/>
  <c r="F352"/>
  <c r="F351"/>
  <c r="I273"/>
  <c r="F272"/>
  <c r="F271"/>
  <c r="F270"/>
  <c r="F269"/>
  <c r="I268"/>
  <c r="F267"/>
  <c r="F266"/>
  <c r="F265"/>
  <c r="F264"/>
  <c r="H746" l="1"/>
  <c r="F737"/>
  <c r="I746"/>
  <c r="F743"/>
  <c r="F736"/>
  <c r="F744"/>
  <c r="F726"/>
  <c r="I729"/>
  <c r="F514"/>
  <c r="H518"/>
  <c r="I519"/>
  <c r="H519"/>
  <c r="F516"/>
  <c r="F355"/>
  <c r="F268"/>
  <c r="F273"/>
  <c r="F729" l="1"/>
  <c r="F730"/>
  <c r="F746" s="1"/>
  <c r="F519"/>
  <c r="F518"/>
  <c r="I445"/>
  <c r="F445" s="1"/>
  <c r="F444"/>
  <c r="F368"/>
  <c r="I369"/>
  <c r="F367"/>
  <c r="F366"/>
  <c r="F365"/>
  <c r="H350"/>
  <c r="I350"/>
  <c r="F349"/>
  <c r="F348"/>
  <c r="F347"/>
  <c r="F346"/>
  <c r="F300"/>
  <c r="F299"/>
  <c r="H301"/>
  <c r="F297"/>
  <c r="F287"/>
  <c r="F286"/>
  <c r="H288"/>
  <c r="F284"/>
  <c r="H263"/>
  <c r="I263"/>
  <c r="F262"/>
  <c r="F261"/>
  <c r="F260"/>
  <c r="F259"/>
  <c r="F257"/>
  <c r="F256"/>
  <c r="F255"/>
  <c r="I258"/>
  <c r="H81"/>
  <c r="F80"/>
  <c r="F79"/>
  <c r="F78"/>
  <c r="F77"/>
  <c r="G51"/>
  <c r="F369" l="1"/>
  <c r="F350"/>
  <c r="F298"/>
  <c r="F301" s="1"/>
  <c r="F285"/>
  <c r="F288" s="1"/>
  <c r="F263"/>
  <c r="F254"/>
  <c r="F258" s="1"/>
  <c r="F81"/>
  <c r="I81"/>
  <c r="F49"/>
  <c r="I227"/>
  <c r="H227"/>
  <c r="F226"/>
  <c r="F227" s="1"/>
  <c r="J684" l="1"/>
  <c r="I684"/>
  <c r="I587" l="1"/>
  <c r="H546"/>
  <c r="I457"/>
  <c r="I489"/>
  <c r="I465"/>
  <c r="I450"/>
  <c r="I403"/>
  <c r="I373"/>
  <c r="I359"/>
  <c r="I217"/>
  <c r="I152"/>
  <c r="I71"/>
  <c r="I248" l="1"/>
  <c r="F341" l="1"/>
  <c r="F342"/>
  <c r="F343"/>
  <c r="F344"/>
  <c r="I345"/>
  <c r="I549" l="1"/>
  <c r="I548"/>
  <c r="H509"/>
  <c r="H508"/>
  <c r="F428"/>
  <c r="F406"/>
  <c r="F323"/>
  <c r="H234"/>
  <c r="H219"/>
  <c r="H220"/>
  <c r="I220"/>
  <c r="I219"/>
  <c r="I200"/>
  <c r="H200"/>
  <c r="I112"/>
  <c r="I111"/>
  <c r="I104"/>
  <c r="H86"/>
  <c r="I86"/>
  <c r="I42"/>
  <c r="H42"/>
  <c r="I46"/>
  <c r="H46"/>
  <c r="F441"/>
  <c r="F243"/>
  <c r="F189"/>
  <c r="F95"/>
  <c r="H382"/>
  <c r="F440"/>
  <c r="F242"/>
  <c r="F188"/>
  <c r="F187"/>
  <c r="I546"/>
  <c r="F94"/>
  <c r="H525"/>
  <c r="H532"/>
  <c r="F439"/>
  <c r="H313"/>
  <c r="H278"/>
  <c r="F241"/>
  <c r="H145"/>
  <c r="F93"/>
  <c r="H750" l="1"/>
  <c r="I539"/>
  <c r="I234"/>
  <c r="I496"/>
  <c r="I475"/>
  <c r="I334" l="1"/>
  <c r="I339" s="1"/>
  <c r="F340"/>
  <c r="F345" s="1"/>
  <c r="I240" l="1"/>
  <c r="I204"/>
  <c r="I92" l="1"/>
  <c r="J698" l="1"/>
  <c r="J691"/>
  <c r="H291"/>
  <c r="H186"/>
  <c r="H144"/>
  <c r="I48"/>
  <c r="H48"/>
  <c r="G48"/>
  <c r="F47"/>
  <c r="F46"/>
  <c r="F48" l="1"/>
  <c r="F223"/>
  <c r="H225"/>
  <c r="F224"/>
  <c r="F225" l="1"/>
  <c r="I225"/>
  <c r="I705"/>
  <c r="I698"/>
  <c r="I691"/>
  <c r="H320" l="1"/>
  <c r="H749" s="1"/>
  <c r="F218"/>
  <c r="I749" l="1"/>
  <c r="J753"/>
  <c r="J752"/>
  <c r="J751"/>
  <c r="J750"/>
  <c r="J749"/>
  <c r="J748"/>
  <c r="F213" l="1"/>
  <c r="F372" l="1"/>
  <c r="F373"/>
  <c r="F374"/>
  <c r="F375"/>
  <c r="F376"/>
  <c r="F377"/>
  <c r="I378"/>
  <c r="I379" s="1"/>
  <c r="H378"/>
  <c r="H379" s="1"/>
  <c r="I402"/>
  <c r="I408" s="1"/>
  <c r="I424"/>
  <c r="I430" s="1"/>
  <c r="I437"/>
  <c r="I443"/>
  <c r="F443" s="1"/>
  <c r="I332"/>
  <c r="I356" s="1"/>
  <c r="F702"/>
  <c r="I16"/>
  <c r="I70"/>
  <c r="F70" s="1"/>
  <c r="I151"/>
  <c r="F151" s="1"/>
  <c r="I203"/>
  <c r="I209" s="1"/>
  <c r="I216"/>
  <c r="I247"/>
  <c r="F247" s="1"/>
  <c r="I505"/>
  <c r="I512" s="1"/>
  <c r="I697"/>
  <c r="I703" s="1"/>
  <c r="I480"/>
  <c r="I487"/>
  <c r="I494"/>
  <c r="I501"/>
  <c r="I455"/>
  <c r="I470"/>
  <c r="I462"/>
  <c r="F752"/>
  <c r="F751"/>
  <c r="F750"/>
  <c r="H545"/>
  <c r="H551" s="1"/>
  <c r="H531"/>
  <c r="H537" s="1"/>
  <c r="H524"/>
  <c r="H530" s="1"/>
  <c r="H505"/>
  <c r="H512" s="1"/>
  <c r="H319"/>
  <c r="F319" s="1"/>
  <c r="H312"/>
  <c r="H318" s="1"/>
  <c r="H290"/>
  <c r="H296" s="1"/>
  <c r="H277"/>
  <c r="H283" s="1"/>
  <c r="H210"/>
  <c r="H203"/>
  <c r="H209" s="1"/>
  <c r="H150"/>
  <c r="H23"/>
  <c r="H29" s="1"/>
  <c r="H16"/>
  <c r="H22" s="1"/>
  <c r="F211"/>
  <c r="F212"/>
  <c r="F326"/>
  <c r="F327"/>
  <c r="F328"/>
  <c r="F329"/>
  <c r="F330"/>
  <c r="F331"/>
  <c r="F320"/>
  <c r="F321"/>
  <c r="F322"/>
  <c r="F324"/>
  <c r="F313"/>
  <c r="F314"/>
  <c r="F315"/>
  <c r="F316"/>
  <c r="F317"/>
  <c r="F333"/>
  <c r="F334"/>
  <c r="F335"/>
  <c r="F336"/>
  <c r="F337"/>
  <c r="F338"/>
  <c r="H332"/>
  <c r="H339"/>
  <c r="F461"/>
  <c r="F460"/>
  <c r="F459"/>
  <c r="F458"/>
  <c r="F457"/>
  <c r="F456"/>
  <c r="G446"/>
  <c r="H408"/>
  <c r="H437"/>
  <c r="J416"/>
  <c r="J423"/>
  <c r="F438"/>
  <c r="H239"/>
  <c r="H222"/>
  <c r="H202"/>
  <c r="F240"/>
  <c r="F245" s="1"/>
  <c r="I245"/>
  <c r="F145"/>
  <c r="F146"/>
  <c r="F147"/>
  <c r="F148"/>
  <c r="F149"/>
  <c r="F152"/>
  <c r="F153"/>
  <c r="F154"/>
  <c r="F155"/>
  <c r="F156"/>
  <c r="F186"/>
  <c r="F191" s="1"/>
  <c r="H191"/>
  <c r="H90"/>
  <c r="H98" s="1"/>
  <c r="H62"/>
  <c r="H82" s="1"/>
  <c r="F382"/>
  <c r="I90"/>
  <c r="F92"/>
  <c r="H97"/>
  <c r="J710"/>
  <c r="J703"/>
  <c r="J696"/>
  <c r="J689"/>
  <c r="I719"/>
  <c r="I720" s="1"/>
  <c r="I710"/>
  <c r="I696"/>
  <c r="I689"/>
  <c r="H720"/>
  <c r="H710"/>
  <c r="H703"/>
  <c r="H696"/>
  <c r="H689"/>
  <c r="F713"/>
  <c r="F714"/>
  <c r="F715"/>
  <c r="F716"/>
  <c r="F717"/>
  <c r="F718"/>
  <c r="F704"/>
  <c r="F705"/>
  <c r="F706"/>
  <c r="F707"/>
  <c r="F708"/>
  <c r="F709"/>
  <c r="F698"/>
  <c r="F699"/>
  <c r="F700"/>
  <c r="F701"/>
  <c r="F690"/>
  <c r="F691"/>
  <c r="F692"/>
  <c r="F693"/>
  <c r="F694"/>
  <c r="F695"/>
  <c r="F683"/>
  <c r="F684"/>
  <c r="F685"/>
  <c r="F686"/>
  <c r="F687"/>
  <c r="F688"/>
  <c r="I661"/>
  <c r="I654"/>
  <c r="I647"/>
  <c r="I640"/>
  <c r="I633"/>
  <c r="I626"/>
  <c r="I616"/>
  <c r="I609"/>
  <c r="I592"/>
  <c r="I600" s="1"/>
  <c r="I561"/>
  <c r="I568"/>
  <c r="I544"/>
  <c r="I551"/>
  <c r="F655"/>
  <c r="F656"/>
  <c r="F657"/>
  <c r="F658"/>
  <c r="F659"/>
  <c r="F660"/>
  <c r="F648"/>
  <c r="F649"/>
  <c r="F650"/>
  <c r="F651"/>
  <c r="F652"/>
  <c r="F653"/>
  <c r="F641"/>
  <c r="F642"/>
  <c r="F643"/>
  <c r="F644"/>
  <c r="F645"/>
  <c r="F646"/>
  <c r="F634"/>
  <c r="F635"/>
  <c r="F636"/>
  <c r="F637"/>
  <c r="F638"/>
  <c r="F639"/>
  <c r="F627"/>
  <c r="F628"/>
  <c r="F629"/>
  <c r="F630"/>
  <c r="F631"/>
  <c r="F632"/>
  <c r="F620"/>
  <c r="F621"/>
  <c r="F622"/>
  <c r="F623"/>
  <c r="F624"/>
  <c r="F625"/>
  <c r="F610"/>
  <c r="F611"/>
  <c r="F612"/>
  <c r="F613"/>
  <c r="F614"/>
  <c r="F615"/>
  <c r="F603"/>
  <c r="F604"/>
  <c r="F605"/>
  <c r="F606"/>
  <c r="F607"/>
  <c r="F608"/>
  <c r="F586"/>
  <c r="F587"/>
  <c r="F588"/>
  <c r="F589"/>
  <c r="F590"/>
  <c r="F591"/>
  <c r="F555"/>
  <c r="F556"/>
  <c r="F557"/>
  <c r="F558"/>
  <c r="F559"/>
  <c r="F560"/>
  <c r="F562"/>
  <c r="F563"/>
  <c r="F564"/>
  <c r="F565"/>
  <c r="F566"/>
  <c r="F567"/>
  <c r="G552"/>
  <c r="F525"/>
  <c r="F526"/>
  <c r="F527"/>
  <c r="F528"/>
  <c r="F529"/>
  <c r="F532"/>
  <c r="F533"/>
  <c r="F534"/>
  <c r="F535"/>
  <c r="F536"/>
  <c r="F538"/>
  <c r="F539"/>
  <c r="F540"/>
  <c r="F541"/>
  <c r="F542"/>
  <c r="F543"/>
  <c r="F546"/>
  <c r="F547"/>
  <c r="F548"/>
  <c r="F549"/>
  <c r="F550"/>
  <c r="H502"/>
  <c r="F506"/>
  <c r="F507"/>
  <c r="F508"/>
  <c r="F509"/>
  <c r="F510"/>
  <c r="F474"/>
  <c r="F475"/>
  <c r="F476"/>
  <c r="F477"/>
  <c r="F478"/>
  <c r="F479"/>
  <c r="F481"/>
  <c r="F482"/>
  <c r="F483"/>
  <c r="F484"/>
  <c r="F485"/>
  <c r="F486"/>
  <c r="F488"/>
  <c r="F489"/>
  <c r="F490"/>
  <c r="F491"/>
  <c r="F492"/>
  <c r="F493"/>
  <c r="F495"/>
  <c r="F496"/>
  <c r="F497"/>
  <c r="F498"/>
  <c r="F499"/>
  <c r="F500"/>
  <c r="F449"/>
  <c r="F450"/>
  <c r="F451"/>
  <c r="F452"/>
  <c r="F453"/>
  <c r="F454"/>
  <c r="F464"/>
  <c r="F465"/>
  <c r="F466"/>
  <c r="F467"/>
  <c r="F468"/>
  <c r="F469"/>
  <c r="F431"/>
  <c r="F437" s="1"/>
  <c r="F425"/>
  <c r="F426"/>
  <c r="F427"/>
  <c r="F429"/>
  <c r="F420"/>
  <c r="F421"/>
  <c r="F422"/>
  <c r="F413"/>
  <c r="F414"/>
  <c r="F415"/>
  <c r="F403"/>
  <c r="F405"/>
  <c r="F407"/>
  <c r="I364"/>
  <c r="I370" s="1"/>
  <c r="I239"/>
  <c r="I202"/>
  <c r="H387"/>
  <c r="H388" s="1"/>
  <c r="F381"/>
  <c r="F383"/>
  <c r="F384"/>
  <c r="F385"/>
  <c r="F386"/>
  <c r="F358"/>
  <c r="F359"/>
  <c r="F360"/>
  <c r="F361"/>
  <c r="F362"/>
  <c r="F363"/>
  <c r="F278"/>
  <c r="F279"/>
  <c r="F280"/>
  <c r="F281"/>
  <c r="F282"/>
  <c r="F291"/>
  <c r="F292"/>
  <c r="F293"/>
  <c r="F294"/>
  <c r="F295"/>
  <c r="F248"/>
  <c r="F249"/>
  <c r="F250"/>
  <c r="F251"/>
  <c r="F252"/>
  <c r="F233"/>
  <c r="F234"/>
  <c r="F216"/>
  <c r="F217"/>
  <c r="F219"/>
  <c r="F220"/>
  <c r="F204"/>
  <c r="F200"/>
  <c r="F201"/>
  <c r="I210"/>
  <c r="I214" s="1"/>
  <c r="G202"/>
  <c r="I114"/>
  <c r="I106"/>
  <c r="F106" s="1"/>
  <c r="I62"/>
  <c r="I69"/>
  <c r="I22"/>
  <c r="I29"/>
  <c r="F108"/>
  <c r="F109"/>
  <c r="F110"/>
  <c r="F111"/>
  <c r="F112"/>
  <c r="F113"/>
  <c r="F105"/>
  <c r="F103"/>
  <c r="F102"/>
  <c r="F101"/>
  <c r="F100"/>
  <c r="F86"/>
  <c r="F84"/>
  <c r="F56"/>
  <c r="F62" s="1"/>
  <c r="F63"/>
  <c r="F69" s="1"/>
  <c r="F71"/>
  <c r="F72"/>
  <c r="F73"/>
  <c r="F74"/>
  <c r="F75"/>
  <c r="G45"/>
  <c r="G54" s="1"/>
  <c r="F39"/>
  <c r="F40"/>
  <c r="F41"/>
  <c r="F42"/>
  <c r="F43"/>
  <c r="F44"/>
  <c r="I45"/>
  <c r="I54" s="1"/>
  <c r="H45"/>
  <c r="H54" s="1"/>
  <c r="J30"/>
  <c r="G22"/>
  <c r="G29"/>
  <c r="F202" l="1"/>
  <c r="H309"/>
  <c r="F253"/>
  <c r="H274"/>
  <c r="I583"/>
  <c r="I669"/>
  <c r="F669" s="1"/>
  <c r="I446"/>
  <c r="I552"/>
  <c r="H446"/>
  <c r="H521" s="1"/>
  <c r="H192"/>
  <c r="H552"/>
  <c r="H680" s="1"/>
  <c r="I471"/>
  <c r="I502"/>
  <c r="F16"/>
  <c r="F22" s="1"/>
  <c r="I222"/>
  <c r="F221"/>
  <c r="F222" s="1"/>
  <c r="I511"/>
  <c r="F545"/>
  <c r="F551" s="1"/>
  <c r="G390"/>
  <c r="F277"/>
  <c r="F283" s="1"/>
  <c r="I76"/>
  <c r="I82" s="1"/>
  <c r="I253"/>
  <c r="F23"/>
  <c r="F29" s="1"/>
  <c r="H511"/>
  <c r="F424"/>
  <c r="F430" s="1"/>
  <c r="F524"/>
  <c r="F530" s="1"/>
  <c r="F239"/>
  <c r="F402"/>
  <c r="F408" s="1"/>
  <c r="F654"/>
  <c r="F423"/>
  <c r="H325"/>
  <c r="H356" s="1"/>
  <c r="I617"/>
  <c r="F617" s="1"/>
  <c r="F753"/>
  <c r="J446"/>
  <c r="J521" s="1"/>
  <c r="F325"/>
  <c r="F697"/>
  <c r="F703" s="1"/>
  <c r="F332"/>
  <c r="H748"/>
  <c r="H754" s="1"/>
  <c r="I748"/>
  <c r="I30"/>
  <c r="F416"/>
  <c r="I157"/>
  <c r="I192" s="1"/>
  <c r="H30"/>
  <c r="H115" s="1"/>
  <c r="F505"/>
  <c r="F511" s="1"/>
  <c r="F387"/>
  <c r="F388" s="1"/>
  <c r="F633"/>
  <c r="F710"/>
  <c r="F90"/>
  <c r="F290"/>
  <c r="F296" s="1"/>
  <c r="F494"/>
  <c r="F568"/>
  <c r="F592"/>
  <c r="F600" s="1"/>
  <c r="F626"/>
  <c r="F719"/>
  <c r="F720" s="1"/>
  <c r="H711"/>
  <c r="H722" s="1"/>
  <c r="I98"/>
  <c r="F98" s="1"/>
  <c r="F203"/>
  <c r="F209" s="1"/>
  <c r="G30"/>
  <c r="F364"/>
  <c r="F370" s="1"/>
  <c r="F470"/>
  <c r="F455"/>
  <c r="F544"/>
  <c r="F616"/>
  <c r="F647"/>
  <c r="F144"/>
  <c r="F150" s="1"/>
  <c r="F501"/>
  <c r="F487"/>
  <c r="F531"/>
  <c r="F537" s="1"/>
  <c r="F561"/>
  <c r="F609"/>
  <c r="F696"/>
  <c r="F480"/>
  <c r="F45"/>
  <c r="F54" s="1"/>
  <c r="F640"/>
  <c r="F661"/>
  <c r="J711"/>
  <c r="J722" s="1"/>
  <c r="F97"/>
  <c r="F462"/>
  <c r="F339"/>
  <c r="F378"/>
  <c r="F379" s="1"/>
  <c r="I711"/>
  <c r="I722" s="1"/>
  <c r="F689"/>
  <c r="F749"/>
  <c r="F76"/>
  <c r="F82" s="1"/>
  <c r="F114"/>
  <c r="F157"/>
  <c r="F312"/>
  <c r="F318" s="1"/>
  <c r="F210"/>
  <c r="F214" s="1"/>
  <c r="H390" l="1"/>
  <c r="F274"/>
  <c r="F356"/>
  <c r="I274"/>
  <c r="I390" s="1"/>
  <c r="I521"/>
  <c r="F521" s="1"/>
  <c r="I680"/>
  <c r="F680" s="1"/>
  <c r="I115"/>
  <c r="F115" s="1"/>
  <c r="F309"/>
  <c r="F30"/>
  <c r="I754"/>
  <c r="F471"/>
  <c r="F512"/>
  <c r="F552"/>
  <c r="H193"/>
  <c r="F502"/>
  <c r="F192"/>
  <c r="F446"/>
  <c r="F711"/>
  <c r="F722" s="1"/>
  <c r="F583"/>
  <c r="F748"/>
  <c r="F754" s="1"/>
  <c r="I193" l="1"/>
  <c r="F193" s="1"/>
  <c r="F390"/>
</calcChain>
</file>

<file path=xl/sharedStrings.xml><?xml version="1.0" encoding="utf-8"?>
<sst xmlns="http://schemas.openxmlformats.org/spreadsheetml/2006/main" count="833" uniqueCount="413">
  <si>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</si>
  <si>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</si>
  <si>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</si>
  <si>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</si>
  <si>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</si>
  <si>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</si>
  <si>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</si>
  <si>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</si>
  <si>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</si>
  <si>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</si>
  <si>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</si>
  <si>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</si>
  <si>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</si>
  <si>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</si>
  <si>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</si>
  <si>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</si>
  <si>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</si>
  <si>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</si>
  <si>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</si>
  <si>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</si>
  <si>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</si>
  <si>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</si>
  <si>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</si>
  <si>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</si>
  <si>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</si>
  <si>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</si>
  <si>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</si>
  <si>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</si>
  <si>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</si>
  <si>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</si>
  <si>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</si>
  <si>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</si>
  <si>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</si>
  <si>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</si>
  <si>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</si>
  <si>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</si>
  <si>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</si>
  <si>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</si>
  <si>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</si>
  <si>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</si>
  <si>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</si>
  <si>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</si>
  <si>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</si>
  <si>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</si>
  <si>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</si>
  <si>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</si>
  <si>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</si>
  <si>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</si>
  <si>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</si>
  <si>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</si>
  <si>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</si>
  <si>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</si>
  <si>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</si>
  <si>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</si>
  <si>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</si>
  <si>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</si>
  <si>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</si>
  <si>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</si>
  <si>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</si>
  <si>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</si>
  <si>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</si>
  <si>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</si>
  <si>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</si>
  <si>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</si>
  <si>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</si>
  <si>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</si>
  <si>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</si>
  <si>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</si>
  <si>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</si>
  <si>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</si>
  <si>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</si>
  <si>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</si>
  <si>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</si>
  <si>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</si>
  <si>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</si>
  <si>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</si>
  <si>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</si>
  <si>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</si>
  <si>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</si>
  <si>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</si>
  <si>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</si>
  <si>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</si>
  <si>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</si>
  <si>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</si>
  <si>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</si>
  <si>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</si>
  <si>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</si>
  <si>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</si>
  <si>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</si>
  <si>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</si>
  <si>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</si>
  <si>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</si>
  <si>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</si>
  <si>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</si>
  <si>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</si>
  <si>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</si>
  <si>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</si>
  <si>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</si>
  <si>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</si>
  <si>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</si>
  <si>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</si>
  <si>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</si>
  <si>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</si>
  <si>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</si>
  <si>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</si>
  <si>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</si>
  <si>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</si>
  <si>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</si>
  <si>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</si>
  <si>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</si>
  <si>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</si>
  <si>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</si>
  <si>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</si>
  <si>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</si>
  <si>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</si>
  <si>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</si>
  <si>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</si>
  <si>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</si>
  <si>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</si>
  <si>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</si>
  <si>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</si>
  <si>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</si>
  <si>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</si>
  <si>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</si>
  <si>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</si>
  <si>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</si>
  <si>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</si>
  <si>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</si>
  <si>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</si>
  <si>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</si>
  <si>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</si>
  <si>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</si>
  <si>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</si>
  <si>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</si>
  <si>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</si>
  <si>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</si>
  <si>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</si>
  <si>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</si>
  <si>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</si>
  <si>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</si>
  <si>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</si>
  <si>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</si>
  <si>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</si>
  <si>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</si>
  <si>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</si>
  <si>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</si>
  <si>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</si>
  <si>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</si>
  <si>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</si>
  <si>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</si>
  <si>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</si>
  <si>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</si>
  <si>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</si>
  <si>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</si>
  <si>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</si>
  <si>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</si>
  <si>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</si>
  <si>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</si>
  <si>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</si>
  <si>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</si>
  <si>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</si>
  <si>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</si>
  <si>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</si>
  <si>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</si>
  <si>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</si>
  <si>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</si>
  <si>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</si>
  <si>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</si>
  <si>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</si>
  <si>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</si>
  <si>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</si>
  <si>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</si>
  <si>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</si>
  <si>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</si>
  <si>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</si>
  <si>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</si>
  <si>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</si>
  <si>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</si>
  <si>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</si>
  <si>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</si>
  <si>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</si>
  <si>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</si>
  <si>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</si>
  <si>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</si>
  <si>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</si>
  <si>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</si>
  <si>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</si>
  <si>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</si>
  <si>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</si>
  <si>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</si>
  <si>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</si>
  <si>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</si>
  <si>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</si>
  <si>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</si>
  <si>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</si>
  <si>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</si>
  <si>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</si>
  <si>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</si>
  <si>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</si>
  <si>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</si>
  <si>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</si>
  <si>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</si>
  <si>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</si>
  <si>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</si>
  <si>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</si>
  <si>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</si>
  <si>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</si>
  <si>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</si>
  <si>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</si>
  <si>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</si>
  <si>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</si>
  <si>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</si>
  <si>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</si>
  <si>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</si>
  <si>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</si>
  <si>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</si>
  <si>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</si>
  <si>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</si>
  <si>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</si>
  <si>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</si>
  <si>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</si>
  <si>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</si>
  <si>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</si>
  <si>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</si>
  <si>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</si>
  <si>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</si>
  <si>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</si>
  <si>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</si>
  <si>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</si>
  <si>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</si>
  <si>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</si>
  <si>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</si>
  <si>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</si>
  <si>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</si>
  <si>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</si>
  <si>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</si>
  <si>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</si>
  <si>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</si>
  <si>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</si>
  <si>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</si>
  <si>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</si>
  <si>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</si>
  <si>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</si>
  <si>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</si>
  <si>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</si>
  <si>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</si>
  <si>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</si>
  <si>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</si>
  <si>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</si>
  <si>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</si>
  <si>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</si>
  <si>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</si>
  <si>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</si>
  <si>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</si>
  <si>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</si>
  <si>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</si>
  <si>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</si>
  <si>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</si>
  <si>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</si>
  <si>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</si>
  <si>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</si>
  <si>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</si>
  <si>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</si>
  <si>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</si>
  <si>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</si>
  <si>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</si>
  <si>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</si>
  <si>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</si>
  <si>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</si>
  <si>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Ограждение участка административного здания по адресу:ул.Советская 68-А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</si>
  <si>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</si>
  <si>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</si>
  <si>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</si>
  <si>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</si>
  <si>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</si>
  <si>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</si>
  <si>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</si>
  <si>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</si>
  <si>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</si>
  <si>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</si>
  <si>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</si>
  <si>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</si>
  <si>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</si>
  <si>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</si>
  <si>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</si>
  <si>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</si>
  <si>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</si>
  <si>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</si>
  <si>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</si>
  <si>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</si>
  <si>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</si>
  <si>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</si>
  <si>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</si>
  <si>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</si>
  <si>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</si>
  <si>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</si>
  <si>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</si>
  <si>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</si>
  <si>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</si>
  <si>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</si>
  <si>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</si>
  <si>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</si>
  <si>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</si>
  <si>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</si>
  <si>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</si>
  <si>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</si>
  <si>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</si>
  <si>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</si>
  <si>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</si>
  <si>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</si>
  <si>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</si>
  <si>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1.6.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</si>
  <si>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</si>
  <si>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</si>
  <si>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</si>
  <si>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</si>
  <si>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</si>
  <si>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</si>
  <si>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2017 - 2020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</si>
  <si>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</si>
  <si>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</si>
  <si>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</si>
  <si>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</si>
  <si>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</si>
  <si>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</si>
  <si>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</si>
  <si>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</si>
  <si>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</si>
  <si>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</si>
  <si>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</si>
  <si>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</si>
  <si>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</si>
  <si>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</si>
  <si>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</si>
  <si>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</si>
  <si>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</si>
  <si>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</si>
  <si>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</si>
  <si>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</si>
  <si>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</si>
  <si>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</si>
  <si>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</si>
  <si>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</si>
  <si>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</si>
  <si>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</si>
  <si>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</si>
  <si>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</si>
  <si>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</si>
  <si>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</si>
  <si>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</si>
  <si>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</si>
  <si>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</si>
  <si>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</si>
  <si>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</si>
  <si>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</si>
  <si>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</si>
  <si>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</si>
  <si>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</si>
  <si>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</si>
  <si>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</si>
  <si>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</si>
  <si>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</si>
  <si>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</si>
  <si>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</si>
  <si>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</si>
  <si>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</si>
  <si>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</si>
  <si>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</si>
  <si>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</si>
  <si>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</si>
  <si>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</si>
  <si>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</si>
  <si>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</si>
  <si>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</si>
  <si>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</si>
  <si>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</si>
  <si>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</si>
  <si>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</si>
  <si>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</si>
  <si>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</si>
  <si>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</si>
  <si>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</si>
  <si>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</si>
  <si>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</si>
  <si>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доб.62,6 СЕЗ заключение по куполу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</si>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</sst>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5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8" xfId="0" applyFont="1" applyFill="1" applyBorder="1" applyAlignment="1">
      <alignment horizontal="justify" vertical="top" wrapText="1"/>
    </xf>
    <xf numFmtId="164" fontId="8" fillId="0" borderId="38" xfId="0" applyNumberFormat="1" applyFont="1" applyFill="1" applyBorder="1" applyAlignment="1">
      <alignment horizontal="justify" vertical="top" wrapText="1"/>
    </xf>
    <xf numFmtId="0" fontId="8" fillId="0" borderId="39" xfId="0" applyFont="1" applyFill="1" applyBorder="1" applyAlignment="1">
      <alignment horizontal="justify" vertical="top" wrapText="1"/>
    </xf>
    <xf numFmtId="0" fontId="16" fillId="0" borderId="38" xfId="0" applyFont="1" applyFill="1" applyBorder="1" applyAlignment="1">
      <alignment horizontal="justify" vertical="top" wrapText="1"/>
    </xf>
    <xf numFmtId="164" fontId="11" fillId="0" borderId="38" xfId="0" applyNumberFormat="1" applyFont="1" applyFill="1" applyBorder="1" applyAlignment="1">
      <alignment horizontal="justify" vertical="top" wrapText="1"/>
    </xf>
    <xf numFmtId="0" fontId="11" fillId="0" borderId="39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8" xfId="0" applyNumberFormat="1" applyFont="1" applyFill="1" applyBorder="1"/>
    <xf numFmtId="0" fontId="2" fillId="0" borderId="39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2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8" xfId="0" applyNumberFormat="1" applyFont="1" applyFill="1" applyBorder="1" applyAlignment="1">
      <alignment horizontal="justify" vertical="top" wrapText="1"/>
    </xf>
    <xf numFmtId="164" fontId="7" fillId="0" borderId="38" xfId="0" applyNumberFormat="1" applyFont="1" applyFill="1" applyBorder="1" applyAlignment="1">
      <alignment horizontal="right" vertical="top" wrapText="1"/>
    </xf>
    <xf numFmtId="164" fontId="7" fillId="0" borderId="38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2" xfId="0" applyNumberFormat="1" applyFont="1" applyFill="1" applyBorder="1"/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4" fillId="0" borderId="33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0" fontId="3" fillId="0" borderId="18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0" fontId="9" fillId="0" borderId="19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4" fillId="0" borderId="31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49" fontId="3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14" fillId="0" borderId="37" xfId="0" applyFont="1" applyFill="1" applyBorder="1" applyAlignment="1">
      <alignment horizontal="justify" vertical="top" wrapText="1"/>
    </xf>
    <xf numFmtId="0" fontId="28" fillId="0" borderId="38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0" xfId="0" applyFont="1" applyFill="1" applyBorder="1" applyAlignment="1"/>
    <xf numFmtId="49" fontId="3" fillId="0" borderId="1" xfId="0" applyNumberFormat="1" applyFont="1" applyFill="1" applyBorder="1" applyAlignment="1"/>
    <xf numFmtId="0" fontId="2" fillId="0" borderId="16" xfId="0" applyFont="1" applyFill="1" applyBorder="1" applyAlignment="1">
      <alignment horizontal="justify" wrapText="1"/>
    </xf>
    <xf numFmtId="0" fontId="7" fillId="0" borderId="2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0" fillId="0" borderId="23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3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3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3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7" fillId="0" borderId="2" xfId="0" applyFont="1" applyFill="1" applyBorder="1" applyAlignment="1">
      <alignment horizontal="justify" vertical="top" wrapText="1"/>
    </xf>
    <xf numFmtId="0" fontId="2" fillId="0" borderId="32" xfId="0" applyFont="1" applyFill="1" applyBorder="1" applyAlignment="1">
      <alignment wrapText="1"/>
    </xf>
    <xf numFmtId="0" fontId="9" fillId="0" borderId="31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7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9" fillId="0" borderId="39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0" fillId="0" borderId="13" xfId="0" applyNumberForma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10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1" fillId="0" borderId="4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25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3" fillId="0" borderId="2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7" fillId="0" borderId="37" xfId="0" applyFont="1" applyFill="1" applyBorder="1" applyAlignment="1">
      <alignment horizontal="justify" vertical="top" wrapText="1"/>
    </xf>
    <xf numFmtId="0" fontId="9" fillId="0" borderId="38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30" xfId="0" applyFont="1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5" xfId="0" applyFont="1" applyFill="1" applyBorder="1" applyAlignment="1">
      <alignment horizontal="justify" wrapText="1"/>
    </xf>
    <xf numFmtId="0" fontId="9" fillId="0" borderId="36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3" fillId="0" borderId="13" xfId="0" applyFont="1" applyFill="1" applyBorder="1" applyAlignment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16" xfId="0" applyFont="1" applyFill="1" applyBorder="1" applyAlignment="1"/>
    <xf numFmtId="0" fontId="0" fillId="0" borderId="2" xfId="0" applyFill="1" applyBorder="1" applyAlignment="1"/>
    <xf numFmtId="49" fontId="8" fillId="0" borderId="2" xfId="0" applyNumberFormat="1" applyFont="1" applyFill="1" applyBorder="1" applyAlignment="1"/>
    <xf numFmtId="0" fontId="22" fillId="0" borderId="2" xfId="0" applyFont="1" applyFill="1" applyBorder="1" applyAlignment="1">
      <alignment horizontal="justify" vertical="top" wrapText="1"/>
    </xf>
    <xf numFmtId="0" fontId="7" fillId="0" borderId="31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59"/>
  <sheetViews>
    <sheetView tabSelected="1" view="pageBreakPreview" topLeftCell="A737" zoomScaleNormal="100" zoomScaleSheetLayoutView="100" workbookViewId="0">
      <selection activeCell="K744" sqref="K744"/>
    </sheetView>
  </sheetViews>
  <sheetFormatPr defaultRowHeight="12.75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9.140625" style="4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>
      <c r="H1" s="461" t="s">
        <v>240</v>
      </c>
      <c r="I1" s="461"/>
      <c r="J1" s="461"/>
      <c r="K1" s="461"/>
    </row>
    <row r="2" spans="1:26" ht="24" customHeight="1">
      <c r="H2" s="462" t="s">
        <v>241</v>
      </c>
      <c r="I2" s="463"/>
      <c r="J2" s="463"/>
      <c r="K2" s="463"/>
    </row>
    <row r="3" spans="1:26" ht="15.75" customHeight="1">
      <c r="C3" s="166"/>
      <c r="F3" s="166"/>
      <c r="G3" s="166"/>
      <c r="H3" s="166"/>
    </row>
    <row r="4" spans="1:26" ht="15.75">
      <c r="C4" s="24"/>
    </row>
    <row r="5" spans="1:26" ht="12.75" customHeight="1">
      <c r="A5" s="468" t="s">
        <v>116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</row>
    <row r="6" spans="1:26" ht="12.75" customHeight="1">
      <c r="A6" s="468" t="s">
        <v>117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</row>
    <row r="7" spans="1:26" ht="12.75" customHeight="1">
      <c r="A7" s="468" t="s">
        <v>118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</row>
    <row r="10" spans="1:26" ht="18" customHeight="1">
      <c r="A10" s="464" t="s">
        <v>2</v>
      </c>
      <c r="B10" s="464" t="s">
        <v>3</v>
      </c>
      <c r="C10" s="464" t="s">
        <v>4</v>
      </c>
      <c r="D10" s="464" t="s">
        <v>5</v>
      </c>
      <c r="E10" s="464" t="s">
        <v>6</v>
      </c>
      <c r="F10" s="464" t="s">
        <v>7</v>
      </c>
      <c r="G10" s="464"/>
      <c r="H10" s="464"/>
      <c r="I10" s="464"/>
      <c r="J10" s="464"/>
      <c r="K10" s="464" t="s">
        <v>8</v>
      </c>
    </row>
    <row r="11" spans="1:26" ht="45">
      <c r="A11" s="464"/>
      <c r="B11" s="464"/>
      <c r="C11" s="464"/>
      <c r="D11" s="464"/>
      <c r="E11" s="464"/>
      <c r="F11" s="167" t="s">
        <v>9</v>
      </c>
      <c r="G11" s="167" t="s">
        <v>10</v>
      </c>
      <c r="H11" s="167" t="s">
        <v>11</v>
      </c>
      <c r="I11" s="167" t="s">
        <v>12</v>
      </c>
      <c r="J11" s="167" t="s">
        <v>13</v>
      </c>
      <c r="K11" s="464"/>
    </row>
    <row r="12" spans="1:26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>
      <c r="A13" s="466" t="s">
        <v>14</v>
      </c>
      <c r="B13" s="467"/>
      <c r="C13" s="467"/>
      <c r="D13" s="467"/>
      <c r="E13" s="467"/>
      <c r="F13" s="467"/>
      <c r="G13" s="467"/>
      <c r="H13" s="467"/>
      <c r="I13" s="467"/>
      <c r="J13" s="467"/>
      <c r="K13" s="467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5.75">
      <c r="A14" s="465" t="s">
        <v>15</v>
      </c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2.25" customHeight="1">
      <c r="A15" s="332" t="s">
        <v>232</v>
      </c>
      <c r="B15" s="314"/>
      <c r="C15" s="314"/>
      <c r="D15" s="327"/>
      <c r="E15" s="327"/>
      <c r="F15" s="327"/>
      <c r="G15" s="327"/>
      <c r="H15" s="327"/>
      <c r="I15" s="327"/>
      <c r="J15" s="327"/>
      <c r="K15" s="327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</row>
    <row r="16" spans="1:26" ht="15">
      <c r="A16" s="290" t="s">
        <v>16</v>
      </c>
      <c r="B16" s="265" t="s">
        <v>17</v>
      </c>
      <c r="C16" s="206">
        <v>2015</v>
      </c>
      <c r="D16" s="404" t="s">
        <v>412</v>
      </c>
      <c r="E16" s="169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01" t="s">
        <v>114</v>
      </c>
    </row>
    <row r="17" spans="1:26" ht="15">
      <c r="A17" s="290"/>
      <c r="B17" s="266"/>
      <c r="C17" s="207"/>
      <c r="D17" s="405"/>
      <c r="E17" s="169">
        <v>2016</v>
      </c>
      <c r="F17" s="7"/>
      <c r="G17" s="7"/>
      <c r="H17" s="7"/>
      <c r="I17" s="7"/>
      <c r="J17" s="7"/>
      <c r="K17" s="208"/>
    </row>
    <row r="18" spans="1:26" ht="20.25" customHeight="1">
      <c r="A18" s="290"/>
      <c r="B18" s="266"/>
      <c r="C18" s="207"/>
      <c r="D18" s="405"/>
      <c r="E18" s="169">
        <v>2017</v>
      </c>
      <c r="F18" s="7"/>
      <c r="G18" s="7"/>
      <c r="H18" s="7"/>
      <c r="I18" s="7"/>
      <c r="J18" s="7"/>
      <c r="K18" s="208"/>
    </row>
    <row r="19" spans="1:26" ht="18.75" customHeight="1">
      <c r="A19" s="290"/>
      <c r="B19" s="266"/>
      <c r="C19" s="207"/>
      <c r="D19" s="405"/>
      <c r="E19" s="169">
        <v>2018</v>
      </c>
      <c r="F19" s="7"/>
      <c r="G19" s="7"/>
      <c r="H19" s="7"/>
      <c r="I19" s="7"/>
      <c r="J19" s="7"/>
      <c r="K19" s="208"/>
      <c r="L19" s="108"/>
    </row>
    <row r="20" spans="1:26" ht="15" customHeight="1">
      <c r="A20" s="290"/>
      <c r="B20" s="266"/>
      <c r="C20" s="207"/>
      <c r="D20" s="405"/>
      <c r="E20" s="169">
        <v>2019</v>
      </c>
      <c r="F20" s="7"/>
      <c r="G20" s="7"/>
      <c r="H20" s="7"/>
      <c r="I20" s="7"/>
      <c r="J20" s="7"/>
      <c r="K20" s="208"/>
    </row>
    <row r="21" spans="1:26" ht="17.25" customHeight="1">
      <c r="A21" s="290"/>
      <c r="B21" s="266"/>
      <c r="C21" s="207"/>
      <c r="D21" s="405"/>
      <c r="E21" s="169">
        <v>2020</v>
      </c>
      <c r="F21" s="7"/>
      <c r="G21" s="7"/>
      <c r="H21" s="7"/>
      <c r="I21" s="7"/>
      <c r="J21" s="7"/>
      <c r="K21" s="208"/>
    </row>
    <row r="22" spans="1:26" ht="12.75" customHeight="1">
      <c r="A22" s="290"/>
      <c r="B22" s="267"/>
      <c r="C22" s="207"/>
      <c r="D22" s="406"/>
      <c r="E22" s="19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209"/>
    </row>
    <row r="23" spans="1:26" ht="15">
      <c r="A23" s="290" t="s">
        <v>19</v>
      </c>
      <c r="B23" s="265" t="s">
        <v>128</v>
      </c>
      <c r="C23" s="206">
        <v>2015</v>
      </c>
      <c r="D23" s="404" t="s">
        <v>412</v>
      </c>
      <c r="E23" s="169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201" t="s">
        <v>115</v>
      </c>
    </row>
    <row r="24" spans="1:26" ht="15">
      <c r="A24" s="290"/>
      <c r="B24" s="266"/>
      <c r="C24" s="207"/>
      <c r="D24" s="405"/>
      <c r="E24" s="169">
        <v>2016</v>
      </c>
      <c r="F24" s="7"/>
      <c r="G24" s="7"/>
      <c r="H24" s="7"/>
      <c r="I24" s="7"/>
      <c r="J24" s="7"/>
      <c r="K24" s="208"/>
    </row>
    <row r="25" spans="1:26" ht="15">
      <c r="A25" s="290"/>
      <c r="B25" s="266"/>
      <c r="C25" s="207"/>
      <c r="D25" s="405"/>
      <c r="E25" s="169">
        <v>2017</v>
      </c>
      <c r="F25" s="7"/>
      <c r="G25" s="7"/>
      <c r="H25" s="7"/>
      <c r="I25" s="7"/>
      <c r="J25" s="7"/>
      <c r="K25" s="208"/>
    </row>
    <row r="26" spans="1:26" ht="15">
      <c r="A26" s="290"/>
      <c r="B26" s="266"/>
      <c r="C26" s="207"/>
      <c r="D26" s="405"/>
      <c r="E26" s="169">
        <v>2018</v>
      </c>
      <c r="F26" s="7"/>
      <c r="G26" s="7"/>
      <c r="H26" s="7"/>
      <c r="I26" s="7"/>
      <c r="J26" s="7"/>
      <c r="K26" s="208"/>
      <c r="L26" s="108"/>
    </row>
    <row r="27" spans="1:26" ht="15">
      <c r="A27" s="290"/>
      <c r="B27" s="266"/>
      <c r="C27" s="207"/>
      <c r="D27" s="405"/>
      <c r="E27" s="169">
        <v>2019</v>
      </c>
      <c r="F27" s="7"/>
      <c r="G27" s="7"/>
      <c r="H27" s="7"/>
      <c r="I27" s="7"/>
      <c r="J27" s="7"/>
      <c r="K27" s="208"/>
    </row>
    <row r="28" spans="1:26" ht="15">
      <c r="A28" s="290"/>
      <c r="B28" s="266"/>
      <c r="C28" s="207"/>
      <c r="D28" s="405"/>
      <c r="E28" s="169">
        <v>2020</v>
      </c>
      <c r="F28" s="7"/>
      <c r="G28" s="7"/>
      <c r="H28" s="7"/>
      <c r="I28" s="7"/>
      <c r="J28" s="7"/>
      <c r="K28" s="208"/>
    </row>
    <row r="29" spans="1:26" ht="15">
      <c r="A29" s="457"/>
      <c r="B29" s="267"/>
      <c r="C29" s="207"/>
      <c r="D29" s="406"/>
      <c r="E29" s="27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209"/>
    </row>
    <row r="30" spans="1:26" ht="14.25">
      <c r="A30" s="241" t="s">
        <v>20</v>
      </c>
      <c r="B30" s="349"/>
      <c r="C30" s="349"/>
      <c r="D30" s="349"/>
      <c r="E30" s="160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60"/>
      <c r="L30" s="455"/>
      <c r="M30" s="455"/>
      <c r="N30" s="455"/>
      <c r="O30" s="455"/>
      <c r="P30" s="455"/>
      <c r="Q30" s="455"/>
      <c r="R30" s="455"/>
      <c r="S30" s="455"/>
      <c r="T30" s="455"/>
      <c r="U30" s="455"/>
      <c r="V30" s="455"/>
      <c r="W30" s="455"/>
      <c r="X30" s="455"/>
      <c r="Y30" s="455"/>
      <c r="Z30" s="455"/>
    </row>
    <row r="31" spans="1:26" ht="14.25">
      <c r="A31" s="332" t="s">
        <v>233</v>
      </c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</row>
    <row r="32" spans="1:26" ht="12.75" customHeight="1">
      <c r="A32" s="256" t="s">
        <v>60</v>
      </c>
      <c r="B32" s="292" t="s">
        <v>120</v>
      </c>
      <c r="C32" s="233" t="s">
        <v>127</v>
      </c>
      <c r="D32" s="201" t="s">
        <v>218</v>
      </c>
      <c r="E32" s="165">
        <v>2015</v>
      </c>
      <c r="F32" s="1"/>
      <c r="G32" s="1"/>
      <c r="H32" s="1"/>
      <c r="I32" s="1"/>
      <c r="J32" s="1"/>
      <c r="K32" s="458" t="s">
        <v>113</v>
      </c>
    </row>
    <row r="33" spans="1:33">
      <c r="A33" s="257"/>
      <c r="B33" s="456"/>
      <c r="C33" s="202"/>
      <c r="D33" s="208"/>
      <c r="E33" s="169">
        <v>2016</v>
      </c>
      <c r="F33" s="2"/>
      <c r="G33" s="2"/>
      <c r="H33" s="2"/>
      <c r="I33" s="2"/>
      <c r="J33" s="2"/>
      <c r="K33" s="459"/>
    </row>
    <row r="34" spans="1:33">
      <c r="A34" s="257"/>
      <c r="B34" s="456"/>
      <c r="C34" s="202"/>
      <c r="D34" s="208"/>
      <c r="E34" s="169">
        <v>2017</v>
      </c>
      <c r="F34" s="2"/>
      <c r="G34" s="2"/>
      <c r="H34" s="2"/>
      <c r="I34" s="2"/>
      <c r="J34" s="2"/>
      <c r="K34" s="459"/>
      <c r="L34" s="108"/>
    </row>
    <row r="35" spans="1:33">
      <c r="A35" s="257"/>
      <c r="B35" s="456"/>
      <c r="C35" s="202"/>
      <c r="D35" s="208"/>
      <c r="E35" s="169">
        <v>2018</v>
      </c>
      <c r="F35" s="2"/>
      <c r="G35" s="2"/>
      <c r="H35" s="2"/>
      <c r="I35" s="2"/>
      <c r="J35" s="2"/>
      <c r="K35" s="459"/>
    </row>
    <row r="36" spans="1:33">
      <c r="A36" s="257"/>
      <c r="B36" s="456"/>
      <c r="C36" s="202"/>
      <c r="D36" s="208"/>
      <c r="E36" s="169">
        <v>2019</v>
      </c>
      <c r="F36" s="2"/>
      <c r="G36" s="2"/>
      <c r="H36" s="2"/>
      <c r="I36" s="2"/>
      <c r="J36" s="2"/>
      <c r="K36" s="459"/>
    </row>
    <row r="37" spans="1:33">
      <c r="A37" s="257"/>
      <c r="B37" s="456"/>
      <c r="C37" s="202"/>
      <c r="D37" s="208"/>
      <c r="E37" s="169">
        <v>2020</v>
      </c>
      <c r="F37" s="2"/>
      <c r="G37" s="2"/>
      <c r="H37" s="2"/>
      <c r="I37" s="2"/>
      <c r="J37" s="2"/>
      <c r="K37" s="459"/>
    </row>
    <row r="38" spans="1:33" ht="60" customHeight="1">
      <c r="A38" s="257"/>
      <c r="B38" s="395"/>
      <c r="C38" s="203"/>
      <c r="D38" s="209"/>
      <c r="E38" s="19" t="s">
        <v>18</v>
      </c>
      <c r="F38" s="2"/>
      <c r="G38" s="2"/>
      <c r="H38" s="2"/>
      <c r="I38" s="2"/>
      <c r="J38" s="2"/>
      <c r="K38" s="459"/>
    </row>
    <row r="39" spans="1:33" ht="12.75" customHeight="1">
      <c r="A39" s="264" t="s">
        <v>244</v>
      </c>
      <c r="B39" s="265" t="s">
        <v>121</v>
      </c>
      <c r="C39" s="206" t="s">
        <v>127</v>
      </c>
      <c r="D39" s="342" t="s">
        <v>408</v>
      </c>
      <c r="E39" s="169">
        <v>2015</v>
      </c>
      <c r="F39" s="7">
        <f>H39+I39</f>
        <v>505</v>
      </c>
      <c r="G39" s="7"/>
      <c r="H39" s="7">
        <v>500</v>
      </c>
      <c r="I39" s="7">
        <v>5</v>
      </c>
      <c r="J39" s="14"/>
      <c r="K39" s="459"/>
    </row>
    <row r="40" spans="1:33">
      <c r="A40" s="264"/>
      <c r="B40" s="266"/>
      <c r="C40" s="207"/>
      <c r="D40" s="342"/>
      <c r="E40" s="169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459"/>
      <c r="L40" s="108"/>
    </row>
    <row r="41" spans="1:33">
      <c r="A41" s="264"/>
      <c r="B41" s="266"/>
      <c r="C41" s="207"/>
      <c r="D41" s="342"/>
      <c r="E41" s="169">
        <v>2017</v>
      </c>
      <c r="F41" s="14">
        <f>SUM(G41:J41)</f>
        <v>0</v>
      </c>
      <c r="G41" s="14"/>
      <c r="H41" s="14">
        <v>0</v>
      </c>
      <c r="I41" s="14">
        <v>0</v>
      </c>
      <c r="J41" s="14"/>
      <c r="K41" s="459"/>
    </row>
    <row r="42" spans="1:33" ht="16.5" customHeight="1">
      <c r="A42" s="264"/>
      <c r="B42" s="266"/>
      <c r="C42" s="207"/>
      <c r="D42" s="342"/>
      <c r="E42" s="169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459"/>
      <c r="L42" s="108"/>
    </row>
    <row r="43" spans="1:33">
      <c r="A43" s="264"/>
      <c r="B43" s="266"/>
      <c r="C43" s="207"/>
      <c r="D43" s="342"/>
      <c r="E43" s="169">
        <v>2019</v>
      </c>
      <c r="F43" s="14">
        <f>SUM(G43:J43)</f>
        <v>0</v>
      </c>
      <c r="G43" s="14"/>
      <c r="H43" s="14">
        <v>0</v>
      </c>
      <c r="I43" s="14">
        <v>0</v>
      </c>
      <c r="J43" s="14"/>
      <c r="K43" s="459"/>
    </row>
    <row r="44" spans="1:33" ht="15" customHeight="1">
      <c r="A44" s="264"/>
      <c r="B44" s="266"/>
      <c r="C44" s="207"/>
      <c r="D44" s="342"/>
      <c r="E44" s="169">
        <v>2020</v>
      </c>
      <c r="F44" s="14">
        <f>SUM(G44:J44)</f>
        <v>0</v>
      </c>
      <c r="G44" s="14"/>
      <c r="H44" s="14">
        <v>0</v>
      </c>
      <c r="I44" s="14">
        <v>0</v>
      </c>
      <c r="J44" s="14"/>
      <c r="K44" s="459"/>
    </row>
    <row r="45" spans="1:33" ht="57" customHeight="1">
      <c r="A45" s="264"/>
      <c r="B45" s="266"/>
      <c r="C45" s="207"/>
      <c r="D45" s="342"/>
      <c r="E45" s="27" t="s">
        <v>18</v>
      </c>
      <c r="F45" s="9">
        <f>SUM(F39:F44)</f>
        <v>505</v>
      </c>
      <c r="G45" s="9">
        <f>SUM(G39:G44)</f>
        <v>0</v>
      </c>
      <c r="H45" s="9">
        <f>SUM(H39:H44)</f>
        <v>500</v>
      </c>
      <c r="I45" s="9">
        <f>SUM(I39:I44)</f>
        <v>5</v>
      </c>
      <c r="J45" s="23"/>
      <c r="K45" s="459"/>
    </row>
    <row r="46" spans="1:33">
      <c r="A46" s="228" t="s">
        <v>246</v>
      </c>
      <c r="B46" s="238" t="s">
        <v>260</v>
      </c>
      <c r="C46" s="232" t="s">
        <v>245</v>
      </c>
      <c r="D46" s="201" t="s">
        <v>408</v>
      </c>
      <c r="E46" s="169">
        <v>2016</v>
      </c>
      <c r="F46" s="14">
        <f t="shared" ref="F46:F47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459"/>
      <c r="L46" s="108"/>
    </row>
    <row r="47" spans="1:33" ht="15">
      <c r="A47" s="229"/>
      <c r="B47" s="292"/>
      <c r="C47" s="233"/>
      <c r="D47" s="208"/>
      <c r="E47" s="169">
        <v>2017</v>
      </c>
      <c r="F47" s="7">
        <f t="shared" si="0"/>
        <v>62.6</v>
      </c>
      <c r="G47" s="7"/>
      <c r="H47" s="7">
        <v>0</v>
      </c>
      <c r="I47" s="7">
        <v>62.6</v>
      </c>
      <c r="J47" s="14"/>
      <c r="K47" s="459"/>
      <c r="L47" s="108" t="s">
        <v>384</v>
      </c>
    </row>
    <row r="48" spans="1:33" ht="105.75" customHeight="1">
      <c r="A48" s="291"/>
      <c r="B48" s="239"/>
      <c r="C48" s="240"/>
      <c r="D48" s="209"/>
      <c r="E48" s="27" t="s">
        <v>18</v>
      </c>
      <c r="F48" s="9">
        <f>SUM(F46:F47)</f>
        <v>62.6</v>
      </c>
      <c r="G48" s="9">
        <f>SUM(G46:G47)</f>
        <v>0</v>
      </c>
      <c r="H48" s="9">
        <f>SUM(H46:H47)</f>
        <v>0</v>
      </c>
      <c r="I48" s="9">
        <f>SUM(I46:I47)</f>
        <v>62.6</v>
      </c>
      <c r="J48" s="23"/>
      <c r="K48" s="459"/>
      <c r="L48" s="108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</row>
    <row r="49" spans="1:33" ht="15">
      <c r="A49" s="228" t="s">
        <v>278</v>
      </c>
      <c r="B49" s="238" t="s">
        <v>261</v>
      </c>
      <c r="C49" s="232" t="s">
        <v>245</v>
      </c>
      <c r="D49" s="201" t="s">
        <v>408</v>
      </c>
      <c r="E49" s="169">
        <v>2017</v>
      </c>
      <c r="F49" s="7">
        <f t="shared" ref="F49" si="1">SUM(G49:I49)</f>
        <v>2075</v>
      </c>
      <c r="G49" s="7"/>
      <c r="H49" s="7">
        <f>7425-5425</f>
        <v>2000</v>
      </c>
      <c r="I49" s="7">
        <v>75</v>
      </c>
      <c r="J49" s="14"/>
      <c r="K49" s="459"/>
      <c r="L49" s="108"/>
    </row>
    <row r="50" spans="1:33" ht="15">
      <c r="A50" s="229"/>
      <c r="B50" s="292"/>
      <c r="C50" s="233"/>
      <c r="D50" s="208"/>
      <c r="E50" s="175">
        <v>2018</v>
      </c>
      <c r="F50" s="7">
        <f t="shared" ref="F50" si="2">SUM(G50:I50)</f>
        <v>2207.5</v>
      </c>
      <c r="G50" s="7"/>
      <c r="H50" s="7">
        <v>0</v>
      </c>
      <c r="I50" s="7">
        <v>2207.5</v>
      </c>
      <c r="J50" s="14"/>
      <c r="K50" s="459"/>
      <c r="L50" s="108"/>
    </row>
    <row r="51" spans="1:33" ht="117" customHeight="1">
      <c r="A51" s="291"/>
      <c r="B51" s="239"/>
      <c r="C51" s="240"/>
      <c r="D51" s="209"/>
      <c r="E51" s="27" t="s">
        <v>18</v>
      </c>
      <c r="F51" s="9">
        <f>SUM(F49:F50)</f>
        <v>4282.5</v>
      </c>
      <c r="G51" s="9">
        <f>SUM(G49:G49)</f>
        <v>0</v>
      </c>
      <c r="H51" s="9">
        <f>SUM(H49:H50)</f>
        <v>2000</v>
      </c>
      <c r="I51" s="9">
        <f>SUM(I49:I50)</f>
        <v>2282.5</v>
      </c>
      <c r="J51" s="23"/>
      <c r="K51" s="45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</row>
    <row r="52" spans="1:33" ht="15">
      <c r="A52" s="228" t="s">
        <v>343</v>
      </c>
      <c r="B52" s="238" t="s">
        <v>407</v>
      </c>
      <c r="C52" s="232">
        <v>2017</v>
      </c>
      <c r="D52" s="201" t="s">
        <v>408</v>
      </c>
      <c r="E52" s="169">
        <v>2017</v>
      </c>
      <c r="F52" s="7">
        <f t="shared" ref="F52" si="3">SUM(G52:I52)</f>
        <v>1420.6</v>
      </c>
      <c r="G52" s="7"/>
      <c r="H52" s="7">
        <f>7375.9-7375.9</f>
        <v>0</v>
      </c>
      <c r="I52" s="7">
        <v>1420.6</v>
      </c>
      <c r="J52" s="14"/>
      <c r="K52" s="459"/>
      <c r="L52" s="108"/>
    </row>
    <row r="53" spans="1:33" ht="118.5" customHeight="1">
      <c r="A53" s="291"/>
      <c r="B53" s="239"/>
      <c r="C53" s="240"/>
      <c r="D53" s="209"/>
      <c r="E53" s="27" t="s">
        <v>18</v>
      </c>
      <c r="F53" s="9">
        <f>SUM(F52:F52)</f>
        <v>1420.6</v>
      </c>
      <c r="G53" s="9">
        <f>SUM(G52:G52)</f>
        <v>0</v>
      </c>
      <c r="H53" s="9">
        <f>SUM(H52:H52)</f>
        <v>0</v>
      </c>
      <c r="I53" s="9">
        <f>SUM(I52:I52)</f>
        <v>1420.6</v>
      </c>
      <c r="J53" s="23"/>
      <c r="K53" s="460"/>
      <c r="L53" s="108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</row>
    <row r="54" spans="1:33" ht="24" customHeight="1">
      <c r="A54" s="293" t="s">
        <v>21</v>
      </c>
      <c r="B54" s="293"/>
      <c r="C54" s="293"/>
      <c r="D54" s="293"/>
      <c r="E54" s="162"/>
      <c r="F54" s="8">
        <f>F38+F45+F48+F51+F53</f>
        <v>6270.7000000000007</v>
      </c>
      <c r="G54" s="8">
        <f>G38+G45+G48+G51</f>
        <v>0</v>
      </c>
      <c r="H54" s="8">
        <f>H38+H45+H48+H51</f>
        <v>2500</v>
      </c>
      <c r="I54" s="8">
        <f>I38+I45+I48+I51+I52</f>
        <v>3770.7</v>
      </c>
      <c r="J54" s="31"/>
      <c r="K54" s="150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33" ht="24.75" customHeight="1">
      <c r="A55" s="287" t="s">
        <v>22</v>
      </c>
      <c r="B55" s="287"/>
      <c r="C55" s="287"/>
      <c r="D55" s="287"/>
      <c r="E55" s="287"/>
      <c r="F55" s="287"/>
      <c r="G55" s="287"/>
      <c r="H55" s="287"/>
      <c r="I55" s="287"/>
      <c r="J55" s="287"/>
      <c r="K55" s="287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29"/>
    </row>
    <row r="56" spans="1:33" ht="13.5" customHeight="1">
      <c r="A56" s="256" t="s">
        <v>119</v>
      </c>
      <c r="B56" s="239" t="s">
        <v>23</v>
      </c>
      <c r="C56" s="240" t="s">
        <v>127</v>
      </c>
      <c r="D56" s="201" t="s">
        <v>218</v>
      </c>
      <c r="E56" s="165">
        <v>2015</v>
      </c>
      <c r="F56" s="176">
        <f>SUM(G56:I56)</f>
        <v>4863.4000000000005</v>
      </c>
      <c r="G56" s="176"/>
      <c r="H56" s="176">
        <v>4814.8</v>
      </c>
      <c r="I56" s="176">
        <v>48.6</v>
      </c>
      <c r="J56" s="12"/>
      <c r="K56" s="201" t="s">
        <v>136</v>
      </c>
      <c r="O56" s="116"/>
    </row>
    <row r="57" spans="1:33" ht="15">
      <c r="A57" s="257"/>
      <c r="B57" s="266"/>
      <c r="C57" s="207"/>
      <c r="D57" s="208"/>
      <c r="E57" s="169">
        <v>2016</v>
      </c>
      <c r="F57" s="7"/>
      <c r="G57" s="7"/>
      <c r="H57" s="7"/>
      <c r="I57" s="7"/>
      <c r="J57" s="14"/>
      <c r="K57" s="208"/>
    </row>
    <row r="58" spans="1:33" ht="15">
      <c r="A58" s="257"/>
      <c r="B58" s="266"/>
      <c r="C58" s="207"/>
      <c r="D58" s="208"/>
      <c r="E58" s="169">
        <v>2017</v>
      </c>
      <c r="F58" s="7"/>
      <c r="G58" s="7"/>
      <c r="H58" s="7"/>
      <c r="I58" s="7"/>
      <c r="J58" s="14"/>
      <c r="K58" s="208"/>
      <c r="L58" s="108"/>
    </row>
    <row r="59" spans="1:33" ht="15">
      <c r="A59" s="257"/>
      <c r="B59" s="266"/>
      <c r="C59" s="207"/>
      <c r="D59" s="208"/>
      <c r="E59" s="169">
        <v>2018</v>
      </c>
      <c r="F59" s="7"/>
      <c r="G59" s="7"/>
      <c r="H59" s="7"/>
      <c r="I59" s="7"/>
      <c r="J59" s="14"/>
      <c r="K59" s="208"/>
    </row>
    <row r="60" spans="1:33" ht="15">
      <c r="A60" s="257"/>
      <c r="B60" s="266"/>
      <c r="C60" s="207"/>
      <c r="D60" s="208"/>
      <c r="E60" s="169">
        <v>2019</v>
      </c>
      <c r="F60" s="7"/>
      <c r="G60" s="7"/>
      <c r="H60" s="7"/>
      <c r="I60" s="7"/>
      <c r="J60" s="14"/>
      <c r="K60" s="208"/>
    </row>
    <row r="61" spans="1:33" ht="15">
      <c r="A61" s="257"/>
      <c r="B61" s="266"/>
      <c r="C61" s="207"/>
      <c r="D61" s="208"/>
      <c r="E61" s="169">
        <v>2020</v>
      </c>
      <c r="F61" s="7"/>
      <c r="G61" s="7"/>
      <c r="H61" s="7"/>
      <c r="I61" s="7"/>
      <c r="J61" s="14"/>
      <c r="K61" s="208"/>
    </row>
    <row r="62" spans="1:33" ht="47.25" customHeight="1">
      <c r="A62" s="257"/>
      <c r="B62" s="267"/>
      <c r="C62" s="273"/>
      <c r="D62" s="209"/>
      <c r="E62" s="19" t="s">
        <v>18</v>
      </c>
      <c r="F62" s="8">
        <f>SUM(F56:F61)</f>
        <v>4863.4000000000005</v>
      </c>
      <c r="G62" s="8"/>
      <c r="H62" s="8">
        <f>SUM(H56:H61)</f>
        <v>4814.8</v>
      </c>
      <c r="I62" s="8">
        <f>SUM(I56:I61)</f>
        <v>48.6</v>
      </c>
      <c r="J62" s="14"/>
      <c r="K62" s="208"/>
    </row>
    <row r="63" spans="1:33" ht="12.75" customHeight="1">
      <c r="A63" s="257" t="s">
        <v>279</v>
      </c>
      <c r="B63" s="265" t="s">
        <v>24</v>
      </c>
      <c r="C63" s="206">
        <v>2015</v>
      </c>
      <c r="D63" s="201" t="s">
        <v>218</v>
      </c>
      <c r="E63" s="169">
        <v>2015</v>
      </c>
      <c r="F63" s="7">
        <f>SUM(G63:I63)</f>
        <v>1538.4</v>
      </c>
      <c r="G63" s="7"/>
      <c r="H63" s="7"/>
      <c r="I63" s="7">
        <v>1538.4</v>
      </c>
      <c r="J63" s="14"/>
      <c r="K63" s="208"/>
    </row>
    <row r="64" spans="1:33" ht="15">
      <c r="A64" s="257"/>
      <c r="B64" s="266"/>
      <c r="C64" s="207"/>
      <c r="D64" s="208"/>
      <c r="E64" s="169">
        <v>2016</v>
      </c>
      <c r="F64" s="7"/>
      <c r="G64" s="7"/>
      <c r="H64" s="7"/>
      <c r="I64" s="7"/>
      <c r="J64" s="14"/>
      <c r="K64" s="208"/>
      <c r="L64" s="108"/>
    </row>
    <row r="65" spans="1:19" ht="15">
      <c r="A65" s="257"/>
      <c r="B65" s="266"/>
      <c r="C65" s="207"/>
      <c r="D65" s="208"/>
      <c r="E65" s="169">
        <v>2017</v>
      </c>
      <c r="F65" s="7"/>
      <c r="G65" s="7"/>
      <c r="H65" s="7"/>
      <c r="I65" s="7"/>
      <c r="J65" s="14"/>
      <c r="K65" s="208"/>
    </row>
    <row r="66" spans="1:19" ht="15">
      <c r="A66" s="257"/>
      <c r="B66" s="266"/>
      <c r="C66" s="207"/>
      <c r="D66" s="208"/>
      <c r="E66" s="169">
        <v>2018</v>
      </c>
      <c r="F66" s="7"/>
      <c r="G66" s="7"/>
      <c r="H66" s="7"/>
      <c r="I66" s="7"/>
      <c r="J66" s="14"/>
      <c r="K66" s="208"/>
    </row>
    <row r="67" spans="1:19" ht="15">
      <c r="A67" s="257"/>
      <c r="B67" s="266"/>
      <c r="C67" s="207"/>
      <c r="D67" s="208"/>
      <c r="E67" s="169">
        <v>2019</v>
      </c>
      <c r="F67" s="7"/>
      <c r="G67" s="7"/>
      <c r="H67" s="7"/>
      <c r="I67" s="7"/>
      <c r="J67" s="14"/>
      <c r="K67" s="208"/>
    </row>
    <row r="68" spans="1:19" ht="15">
      <c r="A68" s="257"/>
      <c r="B68" s="266"/>
      <c r="C68" s="207"/>
      <c r="D68" s="208"/>
      <c r="E68" s="169">
        <v>2020</v>
      </c>
      <c r="F68" s="7"/>
      <c r="G68" s="7"/>
      <c r="H68" s="7"/>
      <c r="I68" s="7"/>
      <c r="J68" s="14"/>
      <c r="K68" s="208"/>
    </row>
    <row r="69" spans="1:19" ht="13.5" customHeight="1">
      <c r="A69" s="257"/>
      <c r="B69" s="267"/>
      <c r="C69" s="273"/>
      <c r="D69" s="209"/>
      <c r="E69" s="19" t="s">
        <v>18</v>
      </c>
      <c r="F69" s="8">
        <f>SUM(F63:F68)</f>
        <v>1538.4</v>
      </c>
      <c r="G69" s="8"/>
      <c r="H69" s="8"/>
      <c r="I69" s="8">
        <f>SUM(I63:I68)</f>
        <v>1538.4</v>
      </c>
      <c r="J69" s="14"/>
      <c r="K69" s="209"/>
    </row>
    <row r="70" spans="1:19" ht="15">
      <c r="A70" s="257" t="s">
        <v>280</v>
      </c>
      <c r="B70" s="265" t="s">
        <v>25</v>
      </c>
      <c r="C70" s="232" t="s">
        <v>127</v>
      </c>
      <c r="D70" s="201" t="s">
        <v>218</v>
      </c>
      <c r="E70" s="169">
        <v>2015</v>
      </c>
      <c r="F70" s="7">
        <f t="shared" ref="F70:F75" si="4">SUM(G70:J70)</f>
        <v>21031.8</v>
      </c>
      <c r="G70" s="7"/>
      <c r="H70" s="7"/>
      <c r="I70" s="7">
        <f>22881.8-1000-850</f>
        <v>21031.8</v>
      </c>
      <c r="J70" s="14"/>
      <c r="K70" s="201" t="s">
        <v>138</v>
      </c>
    </row>
    <row r="71" spans="1:19" ht="15">
      <c r="A71" s="257"/>
      <c r="B71" s="266"/>
      <c r="C71" s="202"/>
      <c r="D71" s="208"/>
      <c r="E71" s="169">
        <v>2016</v>
      </c>
      <c r="F71" s="7">
        <f t="shared" si="4"/>
        <v>21444.400000000001</v>
      </c>
      <c r="G71" s="7"/>
      <c r="H71" s="7"/>
      <c r="I71" s="7">
        <f>22597.2-180.3-509-463.5</f>
        <v>21444.400000000001</v>
      </c>
      <c r="J71" s="14"/>
      <c r="K71" s="274"/>
      <c r="L71" s="29"/>
      <c r="M71" s="29"/>
      <c r="N71" s="122" t="s">
        <v>342</v>
      </c>
      <c r="O71" s="124"/>
      <c r="P71" s="122" t="s">
        <v>341</v>
      </c>
      <c r="Q71" s="123"/>
      <c r="R71" s="123"/>
      <c r="S71" s="124"/>
    </row>
    <row r="72" spans="1:19" ht="15">
      <c r="A72" s="257"/>
      <c r="B72" s="266"/>
      <c r="C72" s="202"/>
      <c r="D72" s="208"/>
      <c r="E72" s="169">
        <v>2017</v>
      </c>
      <c r="F72" s="7">
        <f t="shared" si="4"/>
        <v>44377.700000000004</v>
      </c>
      <c r="G72" s="7"/>
      <c r="H72" s="7"/>
      <c r="I72" s="7">
        <f>21166.7+19807.9+3403.1</f>
        <v>44377.700000000004</v>
      </c>
      <c r="J72" s="14"/>
      <c r="K72" s="274"/>
      <c r="L72" s="108" t="s">
        <v>371</v>
      </c>
      <c r="M72" s="115"/>
      <c r="N72" s="117" t="s">
        <v>338</v>
      </c>
      <c r="O72" s="125">
        <v>21166.7</v>
      </c>
      <c r="P72" s="117" t="s">
        <v>339</v>
      </c>
      <c r="Q72" s="119">
        <v>11932.5</v>
      </c>
      <c r="R72" s="120" t="s">
        <v>340</v>
      </c>
      <c r="S72" s="121">
        <v>7875.4</v>
      </c>
    </row>
    <row r="73" spans="1:19" ht="15">
      <c r="A73" s="257"/>
      <c r="B73" s="266"/>
      <c r="C73" s="202"/>
      <c r="D73" s="208"/>
      <c r="E73" s="169">
        <v>2018</v>
      </c>
      <c r="F73" s="7">
        <f t="shared" si="4"/>
        <v>47082.6</v>
      </c>
      <c r="G73" s="7"/>
      <c r="H73" s="7"/>
      <c r="I73" s="7">
        <v>47082.6</v>
      </c>
      <c r="J73" s="14"/>
      <c r="K73" s="208"/>
      <c r="L73" s="108"/>
      <c r="M73" s="115"/>
    </row>
    <row r="74" spans="1:19" ht="15">
      <c r="A74" s="257"/>
      <c r="B74" s="266"/>
      <c r="C74" s="202"/>
      <c r="D74" s="208"/>
      <c r="E74" s="169">
        <v>2019</v>
      </c>
      <c r="F74" s="7">
        <f t="shared" si="4"/>
        <v>24767.200000000001</v>
      </c>
      <c r="G74" s="7"/>
      <c r="H74" s="7"/>
      <c r="I74" s="7">
        <v>24767.200000000001</v>
      </c>
      <c r="J74" s="14"/>
      <c r="K74" s="208"/>
      <c r="L74" s="108"/>
      <c r="M74" s="115"/>
    </row>
    <row r="75" spans="1:19" ht="15">
      <c r="A75" s="257"/>
      <c r="B75" s="266"/>
      <c r="C75" s="202"/>
      <c r="D75" s="208"/>
      <c r="E75" s="169">
        <v>2020</v>
      </c>
      <c r="F75" s="7">
        <f t="shared" si="4"/>
        <v>6281.9</v>
      </c>
      <c r="G75" s="7"/>
      <c r="H75" s="7"/>
      <c r="I75" s="7">
        <v>6281.9</v>
      </c>
      <c r="J75" s="14"/>
      <c r="K75" s="208"/>
      <c r="M75" s="29"/>
    </row>
    <row r="76" spans="1:19" ht="38.25" customHeight="1">
      <c r="A76" s="257"/>
      <c r="B76" s="266"/>
      <c r="C76" s="203"/>
      <c r="D76" s="209"/>
      <c r="E76" s="19" t="s">
        <v>18</v>
      </c>
      <c r="F76" s="8">
        <f>SUM(F70:F75)</f>
        <v>164985.60000000001</v>
      </c>
      <c r="G76" s="8"/>
      <c r="H76" s="8"/>
      <c r="I76" s="8">
        <f>SUM(I70:I75)</f>
        <v>164985.60000000001</v>
      </c>
      <c r="J76" s="13"/>
      <c r="K76" s="209"/>
    </row>
    <row r="77" spans="1:19" ht="15">
      <c r="A77" s="257" t="s">
        <v>281</v>
      </c>
      <c r="B77" s="265" t="s">
        <v>262</v>
      </c>
      <c r="C77" s="232" t="s">
        <v>127</v>
      </c>
      <c r="D77" s="201" t="s">
        <v>218</v>
      </c>
      <c r="E77" s="169">
        <v>2017</v>
      </c>
      <c r="F77" s="7">
        <f t="shared" ref="F77:F80" si="5">SUM(G77:J77)</f>
        <v>10971.099999999999</v>
      </c>
      <c r="G77" s="7"/>
      <c r="H77" s="7">
        <f>20253.8-8128.5-1154.2</f>
        <v>10971.099999999999</v>
      </c>
      <c r="I77" s="7"/>
      <c r="J77" s="14"/>
      <c r="K77" s="201" t="s">
        <v>274</v>
      </c>
      <c r="L77" s="108" t="s">
        <v>330</v>
      </c>
      <c r="M77" s="4">
        <v>8128.5</v>
      </c>
      <c r="N77" s="108"/>
    </row>
    <row r="78" spans="1:19" ht="15">
      <c r="A78" s="257"/>
      <c r="B78" s="266"/>
      <c r="C78" s="202"/>
      <c r="D78" s="208"/>
      <c r="E78" s="169">
        <v>2018</v>
      </c>
      <c r="F78" s="7">
        <f t="shared" si="5"/>
        <v>17346.3</v>
      </c>
      <c r="G78" s="7"/>
      <c r="H78" s="7">
        <v>17346.3</v>
      </c>
      <c r="I78" s="7"/>
      <c r="J78" s="14"/>
      <c r="K78" s="208"/>
    </row>
    <row r="79" spans="1:19" ht="15">
      <c r="A79" s="257"/>
      <c r="B79" s="266"/>
      <c r="C79" s="202"/>
      <c r="D79" s="208"/>
      <c r="E79" s="169">
        <v>2019</v>
      </c>
      <c r="F79" s="7">
        <f t="shared" si="5"/>
        <v>17346.3</v>
      </c>
      <c r="G79" s="7"/>
      <c r="H79" s="7">
        <v>17346.3</v>
      </c>
      <c r="I79" s="7"/>
      <c r="J79" s="14"/>
      <c r="K79" s="208"/>
      <c r="M79" s="115"/>
    </row>
    <row r="80" spans="1:19" ht="15">
      <c r="A80" s="257"/>
      <c r="B80" s="266"/>
      <c r="C80" s="202"/>
      <c r="D80" s="208"/>
      <c r="E80" s="169">
        <v>2020</v>
      </c>
      <c r="F80" s="7">
        <f t="shared" si="5"/>
        <v>17346.3</v>
      </c>
      <c r="G80" s="7"/>
      <c r="H80" s="7">
        <v>17346.3</v>
      </c>
      <c r="I80" s="7"/>
      <c r="J80" s="14"/>
      <c r="K80" s="208"/>
      <c r="L80" s="108"/>
      <c r="M80" s="115"/>
    </row>
    <row r="81" spans="1:36" ht="60" customHeight="1">
      <c r="A81" s="257"/>
      <c r="B81" s="266"/>
      <c r="C81" s="203"/>
      <c r="D81" s="209"/>
      <c r="E81" s="19" t="s">
        <v>18</v>
      </c>
      <c r="F81" s="8">
        <f>SUM(F77:F80)</f>
        <v>63010</v>
      </c>
      <c r="G81" s="8"/>
      <c r="H81" s="8">
        <f t="shared" ref="H81" si="6">SUM(H77:H80)</f>
        <v>63010</v>
      </c>
      <c r="I81" s="8">
        <f>SUM(I77:I80)</f>
        <v>0</v>
      </c>
      <c r="J81" s="13"/>
      <c r="K81" s="209"/>
    </row>
    <row r="82" spans="1:36" ht="14.25">
      <c r="A82" s="293" t="s">
        <v>26</v>
      </c>
      <c r="B82" s="293"/>
      <c r="C82" s="293"/>
      <c r="D82" s="293"/>
      <c r="E82" s="162"/>
      <c r="F82" s="8">
        <f>F62+F69+F76+F81</f>
        <v>234397.4</v>
      </c>
      <c r="G82" s="8"/>
      <c r="H82" s="8">
        <f>H62+H81</f>
        <v>67824.800000000003</v>
      </c>
      <c r="I82" s="8">
        <f>I62+I69+I76</f>
        <v>166572.6</v>
      </c>
      <c r="J82" s="31"/>
      <c r="K82" s="162"/>
    </row>
    <row r="83" spans="1:36" ht="15" thickBot="1">
      <c r="A83" s="332" t="s">
        <v>27</v>
      </c>
      <c r="B83" s="327"/>
      <c r="C83" s="327"/>
      <c r="D83" s="327"/>
      <c r="E83" s="327"/>
      <c r="F83" s="327"/>
      <c r="G83" s="327"/>
      <c r="H83" s="327"/>
      <c r="I83" s="327"/>
      <c r="J83" s="327"/>
      <c r="K83" s="327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3"/>
    </row>
    <row r="84" spans="1:36" ht="15">
      <c r="A84" s="256" t="s">
        <v>282</v>
      </c>
      <c r="B84" s="452" t="s">
        <v>135</v>
      </c>
      <c r="C84" s="232" t="s">
        <v>127</v>
      </c>
      <c r="D84" s="201" t="s">
        <v>218</v>
      </c>
      <c r="E84" s="165">
        <v>2015</v>
      </c>
      <c r="F84" s="176">
        <f>SUM(G84:I84)</f>
        <v>2018.1000000000001</v>
      </c>
      <c r="G84" s="176"/>
      <c r="H84" s="176">
        <v>1997.9</v>
      </c>
      <c r="I84" s="176">
        <v>20.2</v>
      </c>
      <c r="J84" s="12"/>
      <c r="K84" s="201" t="s">
        <v>139</v>
      </c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  <c r="AF84" s="174"/>
      <c r="AG84" s="174"/>
      <c r="AH84" s="174"/>
      <c r="AI84" s="174"/>
      <c r="AJ84" s="174"/>
    </row>
    <row r="85" spans="1:36" ht="15">
      <c r="A85" s="257"/>
      <c r="B85" s="453"/>
      <c r="C85" s="202"/>
      <c r="D85" s="208"/>
      <c r="E85" s="169">
        <v>2016</v>
      </c>
      <c r="F85" s="7"/>
      <c r="G85" s="7"/>
      <c r="H85" s="7"/>
      <c r="I85" s="7"/>
      <c r="J85" s="14"/>
      <c r="K85" s="208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</row>
    <row r="86" spans="1:36" ht="15">
      <c r="A86" s="257"/>
      <c r="B86" s="453"/>
      <c r="C86" s="202"/>
      <c r="D86" s="208"/>
      <c r="E86" s="169">
        <v>2017</v>
      </c>
      <c r="F86" s="7">
        <f>SUM(G86:I86)</f>
        <v>0</v>
      </c>
      <c r="G86" s="7"/>
      <c r="H86" s="7">
        <f>23675-23675</f>
        <v>0</v>
      </c>
      <c r="I86" s="7">
        <f>239.1-239.1</f>
        <v>0</v>
      </c>
      <c r="J86" s="14"/>
      <c r="K86" s="208"/>
      <c r="L86" s="173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  <c r="AF86" s="174"/>
      <c r="AG86" s="174"/>
      <c r="AH86" s="174"/>
      <c r="AI86" s="174"/>
      <c r="AJ86" s="174"/>
    </row>
    <row r="87" spans="1:36" ht="15">
      <c r="A87" s="257"/>
      <c r="B87" s="453"/>
      <c r="C87" s="202"/>
      <c r="D87" s="208"/>
      <c r="E87" s="169">
        <v>2018</v>
      </c>
      <c r="F87" s="7"/>
      <c r="G87" s="7"/>
      <c r="H87" s="7"/>
      <c r="I87" s="7"/>
      <c r="J87" s="14"/>
      <c r="K87" s="208"/>
      <c r="L87" s="108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  <c r="AF87" s="174"/>
      <c r="AG87" s="174"/>
      <c r="AH87" s="174"/>
      <c r="AI87" s="174"/>
      <c r="AJ87" s="174"/>
    </row>
    <row r="88" spans="1:36" ht="15">
      <c r="A88" s="257"/>
      <c r="B88" s="453"/>
      <c r="C88" s="202"/>
      <c r="D88" s="208"/>
      <c r="E88" s="169">
        <v>2019</v>
      </c>
      <c r="F88" s="7"/>
      <c r="G88" s="7"/>
      <c r="H88" s="7"/>
      <c r="I88" s="7"/>
      <c r="J88" s="14"/>
      <c r="K88" s="208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  <c r="AF88" s="174"/>
      <c r="AG88" s="174"/>
      <c r="AH88" s="174"/>
      <c r="AI88" s="174"/>
      <c r="AJ88" s="174"/>
    </row>
    <row r="89" spans="1:36" ht="15">
      <c r="A89" s="257"/>
      <c r="B89" s="453"/>
      <c r="C89" s="202"/>
      <c r="D89" s="208"/>
      <c r="E89" s="169">
        <v>2020</v>
      </c>
      <c r="F89" s="7"/>
      <c r="G89" s="7"/>
      <c r="H89" s="7"/>
      <c r="I89" s="7"/>
      <c r="J89" s="14"/>
      <c r="K89" s="208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4"/>
      <c r="AH89" s="174"/>
      <c r="AI89" s="174"/>
      <c r="AJ89" s="174"/>
    </row>
    <row r="90" spans="1:36" ht="30" customHeight="1">
      <c r="A90" s="257"/>
      <c r="B90" s="454"/>
      <c r="C90" s="203"/>
      <c r="D90" s="209"/>
      <c r="E90" s="19" t="s">
        <v>18</v>
      </c>
      <c r="F90" s="8">
        <f>SUM(G90:I90)</f>
        <v>2018.1000000000001</v>
      </c>
      <c r="G90" s="8"/>
      <c r="H90" s="8">
        <f>SUM(H84:H88)</f>
        <v>1997.9</v>
      </c>
      <c r="I90" s="8">
        <f>SUM(I84:I88)</f>
        <v>20.2</v>
      </c>
      <c r="J90" s="14"/>
      <c r="K90" s="209"/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4"/>
      <c r="AH90" s="174"/>
      <c r="AI90" s="174"/>
      <c r="AJ90" s="174"/>
    </row>
    <row r="91" spans="1:36" ht="15" customHeight="1">
      <c r="A91" s="409" t="s">
        <v>283</v>
      </c>
      <c r="B91" s="230" t="s">
        <v>248</v>
      </c>
      <c r="C91" s="232" t="s">
        <v>217</v>
      </c>
      <c r="D91" s="201" t="s">
        <v>218</v>
      </c>
      <c r="E91" s="165">
        <v>2015</v>
      </c>
      <c r="F91" s="12"/>
      <c r="G91" s="12"/>
      <c r="H91" s="12"/>
      <c r="I91" s="12"/>
      <c r="J91" s="12"/>
      <c r="K91" s="201" t="s">
        <v>140</v>
      </c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  <c r="AF91" s="174"/>
      <c r="AG91" s="174"/>
      <c r="AH91" s="174"/>
      <c r="AI91" s="174"/>
      <c r="AJ91" s="174"/>
    </row>
    <row r="92" spans="1:36" ht="15" customHeight="1">
      <c r="A92" s="410"/>
      <c r="B92" s="231"/>
      <c r="C92" s="233"/>
      <c r="D92" s="208"/>
      <c r="E92" s="169">
        <v>2016</v>
      </c>
      <c r="F92" s="176">
        <f>SUM(G92:J92)</f>
        <v>7379.4</v>
      </c>
      <c r="G92" s="7"/>
      <c r="H92" s="7"/>
      <c r="I92" s="7">
        <f>1500+4748.2+1131.2</f>
        <v>7379.4</v>
      </c>
      <c r="J92" s="14"/>
      <c r="K92" s="208"/>
      <c r="L92" s="173"/>
      <c r="M92" s="173"/>
      <c r="N92" s="173"/>
      <c r="O92" s="173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4"/>
      <c r="AH92" s="174"/>
      <c r="AI92" s="174"/>
      <c r="AJ92" s="174"/>
    </row>
    <row r="93" spans="1:36" ht="12.75" customHeight="1">
      <c r="A93" s="410"/>
      <c r="B93" s="231"/>
      <c r="C93" s="233"/>
      <c r="D93" s="208"/>
      <c r="E93" s="169">
        <v>2017</v>
      </c>
      <c r="F93" s="176">
        <f>SUM(G93:J93)</f>
        <v>3628</v>
      </c>
      <c r="G93" s="7"/>
      <c r="H93" s="7"/>
      <c r="I93" s="7">
        <v>3628</v>
      </c>
      <c r="J93" s="14"/>
      <c r="K93" s="208"/>
      <c r="L93" s="173"/>
      <c r="M93" s="294"/>
      <c r="N93" s="294"/>
      <c r="O93" s="29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174"/>
      <c r="AD93" s="174"/>
      <c r="AE93" s="174"/>
      <c r="AF93" s="174"/>
      <c r="AG93" s="174"/>
      <c r="AH93" s="174"/>
      <c r="AI93" s="174"/>
      <c r="AJ93" s="174"/>
    </row>
    <row r="94" spans="1:36" ht="12" customHeight="1">
      <c r="A94" s="410"/>
      <c r="B94" s="231"/>
      <c r="C94" s="233"/>
      <c r="D94" s="208"/>
      <c r="E94" s="169">
        <v>2018</v>
      </c>
      <c r="F94" s="176">
        <f>SUM(G94:J94)</f>
        <v>1000</v>
      </c>
      <c r="G94" s="7"/>
      <c r="H94" s="7"/>
      <c r="I94" s="7">
        <v>1000</v>
      </c>
      <c r="J94" s="14"/>
      <c r="K94" s="208"/>
      <c r="L94" s="108"/>
      <c r="M94" s="173"/>
      <c r="N94" s="173"/>
      <c r="O94" s="173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74"/>
      <c r="AD94" s="174"/>
      <c r="AE94" s="174"/>
      <c r="AF94" s="174"/>
      <c r="AG94" s="174"/>
      <c r="AH94" s="174"/>
      <c r="AI94" s="174"/>
      <c r="AJ94" s="174"/>
    </row>
    <row r="95" spans="1:36" ht="14.25" customHeight="1">
      <c r="A95" s="410"/>
      <c r="B95" s="231"/>
      <c r="C95" s="233"/>
      <c r="D95" s="208"/>
      <c r="E95" s="169">
        <v>2019</v>
      </c>
      <c r="F95" s="176">
        <f>SUM(G95:J95)</f>
        <v>2500</v>
      </c>
      <c r="G95" s="7"/>
      <c r="H95" s="7"/>
      <c r="I95" s="7">
        <v>2500</v>
      </c>
      <c r="J95" s="14"/>
      <c r="K95" s="208"/>
      <c r="L95" s="173"/>
      <c r="M95" s="173"/>
      <c r="N95" s="173"/>
      <c r="O95" s="173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</row>
    <row r="96" spans="1:36" ht="12" customHeight="1">
      <c r="A96" s="410"/>
      <c r="B96" s="231"/>
      <c r="C96" s="233"/>
      <c r="D96" s="208"/>
      <c r="E96" s="169">
        <v>2020</v>
      </c>
      <c r="F96" s="7">
        <f>SUM(G96:J96)</f>
        <v>0</v>
      </c>
      <c r="G96" s="7"/>
      <c r="H96" s="7"/>
      <c r="I96" s="7">
        <v>0</v>
      </c>
      <c r="J96" s="14"/>
      <c r="K96" s="208"/>
      <c r="L96" s="173"/>
      <c r="M96" s="173"/>
      <c r="N96" s="173"/>
      <c r="O96" s="173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4"/>
    </row>
    <row r="97" spans="1:36" ht="15" customHeight="1">
      <c r="A97" s="411"/>
      <c r="B97" s="215"/>
      <c r="C97" s="240"/>
      <c r="D97" s="209"/>
      <c r="E97" s="19" t="s">
        <v>18</v>
      </c>
      <c r="F97" s="8">
        <f>SUM(G97:I97)</f>
        <v>14507.4</v>
      </c>
      <c r="G97" s="8"/>
      <c r="H97" s="8">
        <f>SUM(H91:H95)</f>
        <v>0</v>
      </c>
      <c r="I97" s="8">
        <f>SUM(I91:I96)</f>
        <v>14507.4</v>
      </c>
      <c r="J97" s="14"/>
      <c r="K97" s="209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4"/>
      <c r="AH97" s="174"/>
      <c r="AI97" s="174"/>
      <c r="AJ97" s="174"/>
    </row>
    <row r="98" spans="1:36" ht="14.25">
      <c r="A98" s="444" t="s">
        <v>28</v>
      </c>
      <c r="B98" s="444"/>
      <c r="C98" s="444"/>
      <c r="D98" s="444"/>
      <c r="E98" s="20"/>
      <c r="F98" s="177">
        <f>SUM(G98:I98)</f>
        <v>16525.5</v>
      </c>
      <c r="G98" s="177"/>
      <c r="H98" s="177">
        <f>H90</f>
        <v>1997.9</v>
      </c>
      <c r="I98" s="177">
        <f>I90+I97</f>
        <v>14527.6</v>
      </c>
      <c r="J98" s="21"/>
      <c r="K98" s="20"/>
    </row>
    <row r="99" spans="1:36" ht="15">
      <c r="A99" s="241" t="s">
        <v>29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29"/>
      <c r="W99" s="29"/>
      <c r="X99" s="29"/>
      <c r="Y99" s="29"/>
      <c r="Z99" s="29"/>
      <c r="AA99" s="29"/>
      <c r="AB99" s="29"/>
      <c r="AC99" s="29"/>
    </row>
    <row r="100" spans="1:36" ht="15">
      <c r="A100" s="257" t="s">
        <v>284</v>
      </c>
      <c r="B100" s="238" t="s">
        <v>30</v>
      </c>
      <c r="C100" s="232" t="s">
        <v>127</v>
      </c>
      <c r="D100" s="201" t="s">
        <v>218</v>
      </c>
      <c r="E100" s="169">
        <v>2015</v>
      </c>
      <c r="F100" s="7">
        <f t="shared" ref="F100:F106" si="7">SUM(G100:I100)</f>
        <v>600</v>
      </c>
      <c r="G100" s="7"/>
      <c r="H100" s="7"/>
      <c r="I100" s="7">
        <v>600</v>
      </c>
      <c r="J100" s="14"/>
      <c r="K100" s="201" t="s">
        <v>137</v>
      </c>
    </row>
    <row r="101" spans="1:36" ht="15">
      <c r="A101" s="257"/>
      <c r="B101" s="254"/>
      <c r="C101" s="202"/>
      <c r="D101" s="208"/>
      <c r="E101" s="169">
        <v>2016</v>
      </c>
      <c r="F101" s="7">
        <f t="shared" si="7"/>
        <v>700</v>
      </c>
      <c r="G101" s="7"/>
      <c r="H101" s="7"/>
      <c r="I101" s="7">
        <v>700</v>
      </c>
      <c r="J101" s="14"/>
      <c r="K101" s="208"/>
    </row>
    <row r="102" spans="1:36" ht="15">
      <c r="A102" s="257"/>
      <c r="B102" s="254"/>
      <c r="C102" s="202"/>
      <c r="D102" s="208"/>
      <c r="E102" s="169">
        <v>2017</v>
      </c>
      <c r="F102" s="7">
        <f t="shared" si="7"/>
        <v>0</v>
      </c>
      <c r="G102" s="7"/>
      <c r="H102" s="7"/>
      <c r="I102" s="7">
        <v>0</v>
      </c>
      <c r="J102" s="14"/>
      <c r="K102" s="208"/>
    </row>
    <row r="103" spans="1:36" ht="15">
      <c r="A103" s="257"/>
      <c r="B103" s="254"/>
      <c r="C103" s="202"/>
      <c r="D103" s="208"/>
      <c r="E103" s="169">
        <v>2018</v>
      </c>
      <c r="F103" s="7">
        <f t="shared" si="7"/>
        <v>400</v>
      </c>
      <c r="G103" s="7"/>
      <c r="H103" s="7"/>
      <c r="I103" s="7">
        <v>400</v>
      </c>
      <c r="J103" s="14"/>
      <c r="K103" s="208"/>
      <c r="L103" s="108"/>
      <c r="M103" s="108"/>
    </row>
    <row r="104" spans="1:36" ht="15">
      <c r="A104" s="257"/>
      <c r="B104" s="254"/>
      <c r="C104" s="202"/>
      <c r="D104" s="208"/>
      <c r="E104" s="169">
        <v>2019</v>
      </c>
      <c r="F104" s="7">
        <v>0</v>
      </c>
      <c r="G104" s="7"/>
      <c r="H104" s="7"/>
      <c r="I104" s="7">
        <f>1000-1000</f>
        <v>0</v>
      </c>
      <c r="J104" s="14"/>
      <c r="K104" s="208"/>
      <c r="L104" s="108"/>
    </row>
    <row r="105" spans="1:36" ht="15">
      <c r="A105" s="257"/>
      <c r="B105" s="254"/>
      <c r="C105" s="202"/>
      <c r="D105" s="208"/>
      <c r="E105" s="169">
        <v>2020</v>
      </c>
      <c r="F105" s="7">
        <f t="shared" si="7"/>
        <v>0</v>
      </c>
      <c r="G105" s="7"/>
      <c r="H105" s="7"/>
      <c r="I105" s="7">
        <v>0</v>
      </c>
      <c r="J105" s="14"/>
      <c r="K105" s="208"/>
    </row>
    <row r="106" spans="1:36" ht="14.25">
      <c r="A106" s="257"/>
      <c r="B106" s="255"/>
      <c r="C106" s="203"/>
      <c r="D106" s="209"/>
      <c r="E106" s="19" t="s">
        <v>18</v>
      </c>
      <c r="F106" s="8">
        <f t="shared" si="7"/>
        <v>1700</v>
      </c>
      <c r="G106" s="8"/>
      <c r="H106" s="8"/>
      <c r="I106" s="8">
        <f>SUM(I100:I105)</f>
        <v>1700</v>
      </c>
      <c r="J106" s="14"/>
      <c r="K106" s="209"/>
    </row>
    <row r="107" spans="1:36" ht="14.25">
      <c r="A107" s="293" t="s">
        <v>31</v>
      </c>
      <c r="B107" s="443"/>
      <c r="C107" s="443"/>
      <c r="D107" s="293"/>
      <c r="E107" s="293"/>
      <c r="F107" s="293"/>
      <c r="G107" s="293"/>
      <c r="H107" s="293"/>
      <c r="I107" s="293"/>
      <c r="J107" s="293"/>
      <c r="K107" s="293"/>
    </row>
    <row r="108" spans="1:36">
      <c r="A108" s="257" t="s">
        <v>285</v>
      </c>
      <c r="B108" s="265" t="s">
        <v>32</v>
      </c>
      <c r="C108" s="232" t="s">
        <v>127</v>
      </c>
      <c r="D108" s="201" t="s">
        <v>218</v>
      </c>
      <c r="E108" s="169">
        <v>2015</v>
      </c>
      <c r="F108" s="14">
        <f t="shared" ref="F108:F113" si="8">SUM(G108:I108)</f>
        <v>0</v>
      </c>
      <c r="G108" s="14"/>
      <c r="H108" s="14"/>
      <c r="I108" s="14">
        <v>0</v>
      </c>
      <c r="J108" s="14"/>
      <c r="K108" s="201" t="s">
        <v>137</v>
      </c>
    </row>
    <row r="109" spans="1:36">
      <c r="A109" s="257"/>
      <c r="B109" s="266"/>
      <c r="C109" s="202"/>
      <c r="D109" s="208"/>
      <c r="E109" s="169">
        <v>2016</v>
      </c>
      <c r="F109" s="14">
        <f t="shared" si="8"/>
        <v>0</v>
      </c>
      <c r="G109" s="14"/>
      <c r="H109" s="14"/>
      <c r="I109" s="14">
        <v>0</v>
      </c>
      <c r="J109" s="14"/>
      <c r="K109" s="208"/>
    </row>
    <row r="110" spans="1:36">
      <c r="A110" s="257"/>
      <c r="B110" s="266"/>
      <c r="C110" s="202"/>
      <c r="D110" s="208"/>
      <c r="E110" s="169">
        <v>2017</v>
      </c>
      <c r="F110" s="14">
        <f t="shared" si="8"/>
        <v>0</v>
      </c>
      <c r="G110" s="14"/>
      <c r="H110" s="14"/>
      <c r="I110" s="14">
        <v>0</v>
      </c>
      <c r="J110" s="14"/>
      <c r="K110" s="208"/>
    </row>
    <row r="111" spans="1:36">
      <c r="A111" s="257"/>
      <c r="B111" s="266"/>
      <c r="C111" s="202"/>
      <c r="D111" s="208"/>
      <c r="E111" s="169">
        <v>2018</v>
      </c>
      <c r="F111" s="14">
        <f t="shared" si="8"/>
        <v>0</v>
      </c>
      <c r="G111" s="14"/>
      <c r="H111" s="14"/>
      <c r="I111" s="14">
        <f>176.7-176.7</f>
        <v>0</v>
      </c>
      <c r="J111" s="14"/>
      <c r="K111" s="208"/>
      <c r="L111" s="108"/>
      <c r="M111" s="108"/>
    </row>
    <row r="112" spans="1:36">
      <c r="A112" s="257"/>
      <c r="B112" s="266"/>
      <c r="C112" s="202"/>
      <c r="D112" s="208"/>
      <c r="E112" s="169">
        <v>2019</v>
      </c>
      <c r="F112" s="14">
        <f t="shared" si="8"/>
        <v>0</v>
      </c>
      <c r="G112" s="14"/>
      <c r="H112" s="14"/>
      <c r="I112" s="14">
        <f>202-202</f>
        <v>0</v>
      </c>
      <c r="J112" s="14"/>
      <c r="K112" s="208"/>
      <c r="L112" s="108"/>
      <c r="M112" s="136"/>
      <c r="N112" s="108"/>
    </row>
    <row r="113" spans="1:36">
      <c r="A113" s="257"/>
      <c r="B113" s="266"/>
      <c r="C113" s="202"/>
      <c r="D113" s="208"/>
      <c r="E113" s="169">
        <v>2020</v>
      </c>
      <c r="F113" s="14">
        <f t="shared" si="8"/>
        <v>0</v>
      </c>
      <c r="G113" s="14"/>
      <c r="H113" s="14"/>
      <c r="I113" s="14">
        <v>0</v>
      </c>
      <c r="J113" s="14"/>
      <c r="K113" s="208"/>
      <c r="L113" s="108"/>
    </row>
    <row r="114" spans="1:36">
      <c r="A114" s="257"/>
      <c r="B114" s="266"/>
      <c r="C114" s="203"/>
      <c r="D114" s="209"/>
      <c r="E114" s="19" t="s">
        <v>18</v>
      </c>
      <c r="F114" s="13">
        <f>SUM(F108:F113)</f>
        <v>0</v>
      </c>
      <c r="G114" s="13"/>
      <c r="H114" s="13"/>
      <c r="I114" s="13">
        <f>SUM(I108:I113)</f>
        <v>0</v>
      </c>
      <c r="J114" s="14"/>
      <c r="K114" s="209"/>
      <c r="P114" s="108"/>
    </row>
    <row r="115" spans="1:36" ht="20.25" customHeight="1">
      <c r="A115" s="446" t="s">
        <v>204</v>
      </c>
      <c r="B115" s="447"/>
      <c r="C115" s="448"/>
      <c r="D115" s="449"/>
      <c r="E115" s="35"/>
      <c r="F115" s="177">
        <f>SUM(G115:I115)</f>
        <v>388116.5</v>
      </c>
      <c r="G115" s="177"/>
      <c r="H115" s="177">
        <f>H114+H106+H98+H82+H54+H30</f>
        <v>191309.2</v>
      </c>
      <c r="I115" s="177">
        <f>I114+I106+I98+I82+I54+I30</f>
        <v>196807.30000000002</v>
      </c>
      <c r="J115" s="22"/>
      <c r="K115" s="35"/>
      <c r="L115" s="126"/>
      <c r="M115" s="108"/>
      <c r="N115" s="126"/>
      <c r="O115" s="127"/>
      <c r="P115" s="151"/>
      <c r="Q115" s="127"/>
      <c r="R115" s="116"/>
    </row>
    <row r="116" spans="1:36" ht="16.5" thickBot="1">
      <c r="A116" s="450" t="s">
        <v>186</v>
      </c>
      <c r="B116" s="451"/>
      <c r="C116" s="451"/>
      <c r="D116" s="451"/>
      <c r="E116" s="451"/>
      <c r="F116" s="451"/>
      <c r="G116" s="451"/>
      <c r="H116" s="451"/>
      <c r="I116" s="451"/>
      <c r="J116" s="451"/>
      <c r="K116" s="451"/>
      <c r="L116" s="129"/>
      <c r="M116" s="129"/>
      <c r="N116" s="29"/>
      <c r="O116" s="29"/>
      <c r="P116" s="29"/>
      <c r="Q116" s="29"/>
      <c r="R116" s="129"/>
      <c r="S116" s="129"/>
      <c r="T116" s="129"/>
      <c r="U116" s="129"/>
      <c r="V116" s="129"/>
      <c r="W116" s="128"/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</row>
    <row r="117" spans="1:36" ht="44.25" customHeight="1" thickBot="1">
      <c r="A117" s="306" t="s">
        <v>235</v>
      </c>
      <c r="B117" s="435"/>
      <c r="C117" s="435"/>
      <c r="D117" s="435"/>
      <c r="E117" s="435"/>
      <c r="F117" s="435"/>
      <c r="G117" s="435"/>
      <c r="H117" s="435"/>
      <c r="I117" s="435"/>
      <c r="J117" s="435"/>
      <c r="K117" s="436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</row>
    <row r="118" spans="1:36">
      <c r="A118" s="257" t="s">
        <v>64</v>
      </c>
      <c r="B118" s="437" t="s">
        <v>33</v>
      </c>
      <c r="C118" s="439" t="s">
        <v>127</v>
      </c>
      <c r="D118" s="441" t="s">
        <v>411</v>
      </c>
      <c r="E118" s="169">
        <v>2015</v>
      </c>
      <c r="F118" s="169"/>
      <c r="G118" s="169"/>
      <c r="H118" s="169"/>
      <c r="I118" s="169"/>
      <c r="J118" s="169"/>
      <c r="K118" s="329" t="s">
        <v>34</v>
      </c>
    </row>
    <row r="119" spans="1:36">
      <c r="A119" s="257"/>
      <c r="B119" s="438"/>
      <c r="C119" s="440"/>
      <c r="D119" s="442"/>
      <c r="E119" s="169">
        <v>2016</v>
      </c>
      <c r="F119" s="169"/>
      <c r="G119" s="169"/>
      <c r="H119" s="169"/>
      <c r="I119" s="169"/>
      <c r="J119" s="169"/>
      <c r="K119" s="208"/>
    </row>
    <row r="120" spans="1:36">
      <c r="A120" s="257"/>
      <c r="B120" s="438"/>
      <c r="C120" s="440"/>
      <c r="D120" s="442"/>
      <c r="E120" s="169">
        <v>2017</v>
      </c>
      <c r="F120" s="169"/>
      <c r="G120" s="169"/>
      <c r="H120" s="169"/>
      <c r="I120" s="169"/>
      <c r="J120" s="169"/>
      <c r="K120" s="208"/>
      <c r="L120" s="108"/>
    </row>
    <row r="121" spans="1:36">
      <c r="A121" s="257"/>
      <c r="B121" s="438"/>
      <c r="C121" s="440"/>
      <c r="D121" s="442"/>
      <c r="E121" s="169">
        <v>2018</v>
      </c>
      <c r="F121" s="169"/>
      <c r="G121" s="169"/>
      <c r="H121" s="169"/>
      <c r="I121" s="169"/>
      <c r="J121" s="169"/>
      <c r="K121" s="208"/>
    </row>
    <row r="122" spans="1:36">
      <c r="A122" s="257"/>
      <c r="B122" s="438"/>
      <c r="C122" s="440"/>
      <c r="D122" s="442"/>
      <c r="E122" s="169">
        <v>2019</v>
      </c>
      <c r="F122" s="169"/>
      <c r="G122" s="169"/>
      <c r="H122" s="169"/>
      <c r="I122" s="169"/>
      <c r="J122" s="169"/>
      <c r="K122" s="208"/>
    </row>
    <row r="123" spans="1:36">
      <c r="A123" s="257"/>
      <c r="B123" s="438"/>
      <c r="C123" s="440"/>
      <c r="D123" s="442"/>
      <c r="E123" s="169">
        <v>2020</v>
      </c>
      <c r="F123" s="169"/>
      <c r="G123" s="169"/>
      <c r="H123" s="169"/>
      <c r="I123" s="169"/>
      <c r="J123" s="169"/>
      <c r="K123" s="208"/>
    </row>
    <row r="124" spans="1:36" ht="21.75" customHeight="1">
      <c r="A124" s="258"/>
      <c r="B124" s="438"/>
      <c r="C124" s="440"/>
      <c r="D124" s="442"/>
      <c r="E124" s="27" t="s">
        <v>18</v>
      </c>
      <c r="F124" s="164"/>
      <c r="G124" s="164"/>
      <c r="H124" s="164"/>
      <c r="I124" s="164"/>
      <c r="J124" s="164"/>
      <c r="K124" s="209"/>
    </row>
    <row r="125" spans="1:36" ht="18" customHeight="1">
      <c r="A125" s="367" t="s">
        <v>207</v>
      </c>
      <c r="B125" s="429"/>
      <c r="C125" s="429"/>
      <c r="D125" s="429"/>
      <c r="E125" s="430"/>
      <c r="F125" s="431" t="s">
        <v>35</v>
      </c>
      <c r="G125" s="432"/>
      <c r="H125" s="432"/>
      <c r="I125" s="432"/>
      <c r="J125" s="433"/>
      <c r="K125" s="97"/>
    </row>
    <row r="126" spans="1:36">
      <c r="A126" s="313" t="s">
        <v>36</v>
      </c>
      <c r="B126" s="434"/>
      <c r="C126" s="434"/>
      <c r="D126" s="434"/>
      <c r="E126" s="434"/>
      <c r="F126" s="434"/>
      <c r="G126" s="434"/>
      <c r="H126" s="434"/>
      <c r="I126" s="434"/>
      <c r="J126" s="434"/>
      <c r="K126" s="434"/>
    </row>
    <row r="127" spans="1:36" ht="31.5" customHeight="1">
      <c r="A127" s="332" t="s">
        <v>37</v>
      </c>
      <c r="B127" s="327"/>
      <c r="C127" s="327"/>
      <c r="D127" s="327"/>
      <c r="E127" s="327"/>
      <c r="F127" s="327"/>
      <c r="G127" s="327"/>
      <c r="H127" s="327"/>
      <c r="I127" s="327"/>
      <c r="J127" s="327"/>
      <c r="K127" s="327"/>
      <c r="L127" s="174"/>
      <c r="M127" s="174"/>
      <c r="N127" s="174"/>
      <c r="O127" s="174"/>
      <c r="P127" s="174"/>
      <c r="Q127" s="174"/>
      <c r="R127" s="174"/>
      <c r="S127" s="174"/>
      <c r="T127" s="174"/>
      <c r="U127" s="174"/>
      <c r="V127" s="174"/>
      <c r="W127" s="174"/>
      <c r="X127" s="174"/>
      <c r="Y127" s="174"/>
      <c r="Z127" s="174"/>
      <c r="AA127" s="174"/>
      <c r="AB127" s="174"/>
      <c r="AC127" s="174"/>
      <c r="AD127" s="174"/>
      <c r="AE127" s="174"/>
      <c r="AF127" s="174"/>
      <c r="AG127" s="174"/>
      <c r="AH127" s="174"/>
      <c r="AI127" s="174"/>
      <c r="AJ127" s="174"/>
    </row>
    <row r="128" spans="1:36">
      <c r="A128" s="256" t="s">
        <v>93</v>
      </c>
      <c r="B128" s="426" t="s">
        <v>38</v>
      </c>
      <c r="C128" s="206" t="s">
        <v>127</v>
      </c>
      <c r="D128" s="342" t="s">
        <v>218</v>
      </c>
      <c r="E128" s="165">
        <v>2015</v>
      </c>
      <c r="F128" s="165"/>
      <c r="G128" s="165"/>
      <c r="H128" s="165"/>
      <c r="I128" s="165"/>
      <c r="J128" s="165"/>
      <c r="K128" s="201" t="s">
        <v>39</v>
      </c>
    </row>
    <row r="129" spans="1:36">
      <c r="A129" s="257"/>
      <c r="B129" s="327"/>
      <c r="C129" s="207"/>
      <c r="D129" s="342"/>
      <c r="E129" s="169">
        <v>2016</v>
      </c>
      <c r="F129" s="169"/>
      <c r="G129" s="169"/>
      <c r="H129" s="169"/>
      <c r="I129" s="169"/>
      <c r="J129" s="169"/>
      <c r="K129" s="208"/>
      <c r="L129" s="108"/>
    </row>
    <row r="130" spans="1:36">
      <c r="A130" s="257"/>
      <c r="B130" s="327"/>
      <c r="C130" s="207"/>
      <c r="D130" s="342"/>
      <c r="E130" s="169">
        <v>2017</v>
      </c>
      <c r="F130" s="169"/>
      <c r="G130" s="169"/>
      <c r="H130" s="169"/>
      <c r="I130" s="169"/>
      <c r="J130" s="169"/>
      <c r="K130" s="208"/>
    </row>
    <row r="131" spans="1:36">
      <c r="A131" s="257"/>
      <c r="B131" s="327"/>
      <c r="C131" s="207"/>
      <c r="D131" s="342"/>
      <c r="E131" s="169">
        <v>2018</v>
      </c>
      <c r="F131" s="169"/>
      <c r="G131" s="169"/>
      <c r="H131" s="169"/>
      <c r="I131" s="169"/>
      <c r="J131" s="169"/>
      <c r="K131" s="208"/>
    </row>
    <row r="132" spans="1:36">
      <c r="A132" s="257"/>
      <c r="B132" s="327"/>
      <c r="C132" s="207"/>
      <c r="D132" s="342"/>
      <c r="E132" s="169">
        <v>2019</v>
      </c>
      <c r="F132" s="169"/>
      <c r="G132" s="169"/>
      <c r="H132" s="169"/>
      <c r="I132" s="169"/>
      <c r="J132" s="169"/>
      <c r="K132" s="208"/>
    </row>
    <row r="133" spans="1:36">
      <c r="A133" s="257"/>
      <c r="B133" s="327"/>
      <c r="C133" s="207"/>
      <c r="D133" s="342"/>
      <c r="E133" s="169">
        <v>2020</v>
      </c>
      <c r="F133" s="169"/>
      <c r="G133" s="169"/>
      <c r="H133" s="169"/>
      <c r="I133" s="169"/>
      <c r="J133" s="169"/>
      <c r="K133" s="208"/>
    </row>
    <row r="134" spans="1:36" ht="30" customHeight="1">
      <c r="A134" s="257"/>
      <c r="B134" s="327"/>
      <c r="C134" s="207"/>
      <c r="D134" s="342"/>
      <c r="E134" s="19" t="s">
        <v>18</v>
      </c>
      <c r="F134" s="169"/>
      <c r="G134" s="169"/>
      <c r="H134" s="169"/>
      <c r="I134" s="169"/>
      <c r="J134" s="169"/>
      <c r="K134" s="209"/>
    </row>
    <row r="135" spans="1:36">
      <c r="A135" s="257" t="s">
        <v>67</v>
      </c>
      <c r="B135" s="248" t="s">
        <v>40</v>
      </c>
      <c r="C135" s="206" t="s">
        <v>127</v>
      </c>
      <c r="D135" s="342" t="s">
        <v>218</v>
      </c>
      <c r="E135" s="169">
        <v>2015</v>
      </c>
      <c r="F135" s="169"/>
      <c r="G135" s="169"/>
      <c r="H135" s="169"/>
      <c r="I135" s="169"/>
      <c r="J135" s="169"/>
      <c r="K135" s="201" t="s">
        <v>41</v>
      </c>
    </row>
    <row r="136" spans="1:36">
      <c r="A136" s="257"/>
      <c r="B136" s="327"/>
      <c r="C136" s="207"/>
      <c r="D136" s="342"/>
      <c r="E136" s="169">
        <v>2016</v>
      </c>
      <c r="F136" s="169"/>
      <c r="G136" s="169"/>
      <c r="H136" s="169"/>
      <c r="I136" s="169"/>
      <c r="J136" s="169"/>
      <c r="K136" s="208"/>
      <c r="L136" s="108"/>
    </row>
    <row r="137" spans="1:36">
      <c r="A137" s="257"/>
      <c r="B137" s="327"/>
      <c r="C137" s="207"/>
      <c r="D137" s="342"/>
      <c r="E137" s="169">
        <v>2017</v>
      </c>
      <c r="F137" s="169"/>
      <c r="G137" s="169"/>
      <c r="H137" s="169"/>
      <c r="I137" s="169"/>
      <c r="J137" s="169"/>
      <c r="K137" s="208"/>
    </row>
    <row r="138" spans="1:36">
      <c r="A138" s="257"/>
      <c r="B138" s="327"/>
      <c r="C138" s="207"/>
      <c r="D138" s="342"/>
      <c r="E138" s="169">
        <v>2018</v>
      </c>
      <c r="F138" s="169"/>
      <c r="G138" s="169"/>
      <c r="H138" s="169"/>
      <c r="I138" s="169"/>
      <c r="J138" s="169"/>
      <c r="K138" s="208"/>
    </row>
    <row r="139" spans="1:36">
      <c r="A139" s="257"/>
      <c r="B139" s="327"/>
      <c r="C139" s="207"/>
      <c r="D139" s="342"/>
      <c r="E139" s="169">
        <v>2019</v>
      </c>
      <c r="F139" s="169"/>
      <c r="G139" s="169"/>
      <c r="H139" s="169"/>
      <c r="I139" s="169"/>
      <c r="J139" s="169"/>
      <c r="K139" s="208"/>
    </row>
    <row r="140" spans="1:36">
      <c r="A140" s="257"/>
      <c r="B140" s="327"/>
      <c r="C140" s="207"/>
      <c r="D140" s="342"/>
      <c r="E140" s="169">
        <v>2020</v>
      </c>
      <c r="F140" s="169"/>
      <c r="G140" s="169"/>
      <c r="H140" s="169"/>
      <c r="I140" s="169"/>
      <c r="J140" s="169"/>
      <c r="K140" s="208"/>
    </row>
    <row r="141" spans="1:36" ht="58.5" customHeight="1">
      <c r="A141" s="258"/>
      <c r="B141" s="314"/>
      <c r="C141" s="207"/>
      <c r="D141" s="342"/>
      <c r="E141" s="27" t="s">
        <v>18</v>
      </c>
      <c r="F141" s="164"/>
      <c r="G141" s="164"/>
      <c r="H141" s="164"/>
      <c r="I141" s="164"/>
      <c r="J141" s="164"/>
      <c r="K141" s="209"/>
    </row>
    <row r="142" spans="1:36" ht="32.25" customHeight="1">
      <c r="A142" s="332" t="s">
        <v>42</v>
      </c>
      <c r="B142" s="327"/>
      <c r="C142" s="327"/>
      <c r="D142" s="327"/>
      <c r="E142" s="327"/>
      <c r="F142" s="327"/>
      <c r="G142" s="327"/>
      <c r="H142" s="327"/>
      <c r="I142" s="327"/>
      <c r="J142" s="327"/>
      <c r="K142" s="327"/>
      <c r="L142" s="174"/>
      <c r="M142" s="174"/>
      <c r="N142" s="174"/>
      <c r="O142" s="174"/>
      <c r="P142" s="174"/>
      <c r="Q142" s="174"/>
      <c r="R142" s="174"/>
      <c r="S142" s="174"/>
      <c r="T142" s="174"/>
      <c r="U142" s="174"/>
      <c r="V142" s="174"/>
      <c r="W142" s="174"/>
      <c r="X142" s="174"/>
      <c r="Y142" s="174"/>
      <c r="Z142" s="174"/>
      <c r="AA142" s="174"/>
      <c r="AB142" s="174"/>
      <c r="AC142" s="174"/>
      <c r="AD142" s="174"/>
      <c r="AE142" s="174"/>
      <c r="AF142" s="174"/>
      <c r="AG142" s="174"/>
      <c r="AH142" s="174"/>
      <c r="AI142" s="174"/>
      <c r="AJ142" s="174"/>
    </row>
    <row r="143" spans="1:36" ht="15">
      <c r="A143" s="332" t="s">
        <v>131</v>
      </c>
      <c r="B143" s="427"/>
      <c r="C143" s="428"/>
      <c r="D143" s="427"/>
      <c r="E143" s="427"/>
      <c r="F143" s="427"/>
      <c r="G143" s="427"/>
      <c r="H143" s="427"/>
      <c r="I143" s="427"/>
      <c r="J143" s="427"/>
      <c r="K143" s="427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</row>
    <row r="144" spans="1:36" ht="15">
      <c r="A144" s="264" t="s">
        <v>286</v>
      </c>
      <c r="B144" s="265" t="s">
        <v>44</v>
      </c>
      <c r="C144" s="206" t="s">
        <v>127</v>
      </c>
      <c r="D144" s="404" t="s">
        <v>218</v>
      </c>
      <c r="E144" s="169">
        <v>2015</v>
      </c>
      <c r="F144" s="7">
        <f t="shared" ref="F144:F149" si="9">SUM(G144:J144)</f>
        <v>289323.7</v>
      </c>
      <c r="G144" s="7"/>
      <c r="H144" s="7">
        <f>313444.2-24120.5</f>
        <v>289323.7</v>
      </c>
      <c r="I144" s="7"/>
      <c r="J144" s="14"/>
      <c r="K144" s="201" t="s">
        <v>45</v>
      </c>
    </row>
    <row r="145" spans="1:14" ht="15">
      <c r="A145" s="264"/>
      <c r="B145" s="266"/>
      <c r="C145" s="207"/>
      <c r="D145" s="405"/>
      <c r="E145" s="169">
        <v>2016</v>
      </c>
      <c r="F145" s="7">
        <f t="shared" si="9"/>
        <v>292770.7</v>
      </c>
      <c r="G145" s="7"/>
      <c r="H145" s="7">
        <f>321212.7-28442</f>
        <v>292770.7</v>
      </c>
      <c r="I145" s="7"/>
      <c r="J145" s="14"/>
      <c r="K145" s="208"/>
      <c r="M145" s="108"/>
    </row>
    <row r="146" spans="1:14" ht="15">
      <c r="A146" s="264"/>
      <c r="B146" s="266"/>
      <c r="C146" s="207"/>
      <c r="D146" s="405"/>
      <c r="E146" s="169">
        <v>2017</v>
      </c>
      <c r="F146" s="7">
        <f t="shared" si="9"/>
        <v>298831.10000000003</v>
      </c>
      <c r="G146" s="7"/>
      <c r="H146" s="7">
        <f>298171.7+659.4</f>
        <v>298831.10000000003</v>
      </c>
      <c r="I146" s="7"/>
      <c r="J146" s="14"/>
      <c r="K146" s="208"/>
      <c r="L146" s="108"/>
      <c r="M146" s="115"/>
    </row>
    <row r="147" spans="1:14" ht="15">
      <c r="A147" s="264"/>
      <c r="B147" s="266"/>
      <c r="C147" s="207"/>
      <c r="D147" s="405"/>
      <c r="E147" s="169">
        <v>2018</v>
      </c>
      <c r="F147" s="7">
        <f t="shared" si="9"/>
        <v>320811.09999999998</v>
      </c>
      <c r="G147" s="7"/>
      <c r="H147" s="7">
        <v>320811.09999999998</v>
      </c>
      <c r="I147" s="7"/>
      <c r="J147" s="14"/>
      <c r="K147" s="208"/>
      <c r="L147" s="108"/>
      <c r="M147" s="115"/>
    </row>
    <row r="148" spans="1:14" ht="15">
      <c r="A148" s="264"/>
      <c r="B148" s="266"/>
      <c r="C148" s="207"/>
      <c r="D148" s="405"/>
      <c r="E148" s="169">
        <v>2019</v>
      </c>
      <c r="F148" s="7">
        <f t="shared" si="9"/>
        <v>333643.5</v>
      </c>
      <c r="G148" s="7"/>
      <c r="H148" s="7">
        <v>333643.5</v>
      </c>
      <c r="I148" s="7"/>
      <c r="J148" s="14"/>
      <c r="K148" s="208"/>
      <c r="L148" s="108"/>
      <c r="M148" s="115"/>
    </row>
    <row r="149" spans="1:14" ht="15">
      <c r="A149" s="264"/>
      <c r="B149" s="266"/>
      <c r="C149" s="207"/>
      <c r="D149" s="405"/>
      <c r="E149" s="169">
        <v>2020</v>
      </c>
      <c r="F149" s="7">
        <f t="shared" si="9"/>
        <v>346989.2</v>
      </c>
      <c r="G149" s="7"/>
      <c r="H149" s="7">
        <v>346989.2</v>
      </c>
      <c r="I149" s="7"/>
      <c r="J149" s="14"/>
      <c r="K149" s="208"/>
    </row>
    <row r="150" spans="1:14" ht="26.25" customHeight="1">
      <c r="A150" s="264"/>
      <c r="B150" s="266"/>
      <c r="C150" s="207"/>
      <c r="D150" s="406"/>
      <c r="E150" s="19" t="s">
        <v>18</v>
      </c>
      <c r="F150" s="8">
        <f>SUM(F144:F149)</f>
        <v>1882369.3</v>
      </c>
      <c r="G150" s="8"/>
      <c r="H150" s="8">
        <f>SUM(H144:H149)</f>
        <v>1882369.3</v>
      </c>
      <c r="I150" s="8"/>
      <c r="J150" s="13"/>
      <c r="K150" s="208"/>
    </row>
    <row r="151" spans="1:14" ht="15">
      <c r="A151" s="264" t="s">
        <v>46</v>
      </c>
      <c r="B151" s="265" t="s">
        <v>47</v>
      </c>
      <c r="C151" s="206" t="s">
        <v>127</v>
      </c>
      <c r="D151" s="404" t="s">
        <v>218</v>
      </c>
      <c r="E151" s="169">
        <v>2015</v>
      </c>
      <c r="F151" s="7">
        <f t="shared" ref="F151:F156" si="10">SUM(G151:J151)</f>
        <v>51438.500000000007</v>
      </c>
      <c r="G151" s="7"/>
      <c r="H151" s="7"/>
      <c r="I151" s="7">
        <f>54650+6257.8-2384.6-2000-2408.2-401.3-516.2-1759</f>
        <v>51438.500000000007</v>
      </c>
      <c r="J151" s="14"/>
      <c r="K151" s="208"/>
    </row>
    <row r="152" spans="1:14" ht="15">
      <c r="A152" s="264"/>
      <c r="B152" s="266"/>
      <c r="C152" s="207"/>
      <c r="D152" s="405"/>
      <c r="E152" s="169">
        <v>2016</v>
      </c>
      <c r="F152" s="7">
        <f t="shared" si="10"/>
        <v>51482.5</v>
      </c>
      <c r="G152" s="7"/>
      <c r="H152" s="7"/>
      <c r="I152" s="7">
        <f>57382.5-5400-500</f>
        <v>51482.5</v>
      </c>
      <c r="J152" s="14"/>
      <c r="K152" s="208"/>
    </row>
    <row r="153" spans="1:14" ht="15">
      <c r="A153" s="264"/>
      <c r="B153" s="266"/>
      <c r="C153" s="207"/>
      <c r="D153" s="405"/>
      <c r="E153" s="169">
        <v>2017</v>
      </c>
      <c r="F153" s="7">
        <f t="shared" si="10"/>
        <v>51797.700000000004</v>
      </c>
      <c r="G153" s="7"/>
      <c r="H153" s="7"/>
      <c r="I153" s="7">
        <f>48417.9+4379.8-1000</f>
        <v>51797.700000000004</v>
      </c>
      <c r="J153" s="14"/>
      <c r="K153" s="208"/>
      <c r="L153" s="108">
        <v>4379.8</v>
      </c>
      <c r="M153" s="115" t="s">
        <v>337</v>
      </c>
      <c r="N153" s="108"/>
    </row>
    <row r="154" spans="1:14" ht="15">
      <c r="A154" s="264"/>
      <c r="B154" s="266"/>
      <c r="C154" s="207"/>
      <c r="D154" s="405"/>
      <c r="E154" s="169">
        <v>2018</v>
      </c>
      <c r="F154" s="7">
        <f t="shared" si="10"/>
        <v>48518</v>
      </c>
      <c r="G154" s="7"/>
      <c r="H154" s="7"/>
      <c r="I154" s="7">
        <v>48518</v>
      </c>
      <c r="J154" s="14"/>
      <c r="K154" s="208"/>
      <c r="L154" s="108"/>
      <c r="M154" s="115"/>
    </row>
    <row r="155" spans="1:14" ht="15">
      <c r="A155" s="264"/>
      <c r="B155" s="266"/>
      <c r="C155" s="207"/>
      <c r="D155" s="405"/>
      <c r="E155" s="169">
        <v>2019</v>
      </c>
      <c r="F155" s="7">
        <f t="shared" si="10"/>
        <v>56387</v>
      </c>
      <c r="G155" s="7"/>
      <c r="H155" s="7"/>
      <c r="I155" s="7">
        <v>56387</v>
      </c>
      <c r="J155" s="14"/>
      <c r="K155" s="208"/>
      <c r="L155" s="108"/>
      <c r="M155" s="115"/>
    </row>
    <row r="156" spans="1:14" ht="15">
      <c r="A156" s="264"/>
      <c r="B156" s="266"/>
      <c r="C156" s="207"/>
      <c r="D156" s="405"/>
      <c r="E156" s="169">
        <v>2020</v>
      </c>
      <c r="F156" s="7">
        <f t="shared" si="10"/>
        <v>46387</v>
      </c>
      <c r="G156" s="7"/>
      <c r="H156" s="7"/>
      <c r="I156" s="7">
        <v>46387</v>
      </c>
      <c r="J156" s="14"/>
      <c r="K156" s="208"/>
    </row>
    <row r="157" spans="1:14" ht="47.25" customHeight="1">
      <c r="A157" s="264"/>
      <c r="B157" s="266"/>
      <c r="C157" s="207"/>
      <c r="D157" s="406"/>
      <c r="E157" s="19" t="s">
        <v>18</v>
      </c>
      <c r="F157" s="8">
        <f>SUM(F151:F156)</f>
        <v>306010.7</v>
      </c>
      <c r="G157" s="8"/>
      <c r="H157" s="8"/>
      <c r="I157" s="8">
        <f>SUM(I151:I156)</f>
        <v>306010.7</v>
      </c>
      <c r="J157" s="13"/>
      <c r="K157" s="209"/>
    </row>
    <row r="158" spans="1:14">
      <c r="A158" s="257" t="s">
        <v>48</v>
      </c>
      <c r="B158" s="265" t="s">
        <v>49</v>
      </c>
      <c r="C158" s="206" t="s">
        <v>127</v>
      </c>
      <c r="D158" s="404" t="s">
        <v>218</v>
      </c>
      <c r="E158" s="169">
        <v>2015</v>
      </c>
      <c r="F158" s="2"/>
      <c r="G158" s="2"/>
      <c r="H158" s="2"/>
      <c r="I158" s="2"/>
      <c r="J158" s="2"/>
      <c r="K158" s="201" t="s">
        <v>50</v>
      </c>
    </row>
    <row r="159" spans="1:14">
      <c r="A159" s="257"/>
      <c r="B159" s="266"/>
      <c r="C159" s="207"/>
      <c r="D159" s="405"/>
      <c r="E159" s="169">
        <v>2016</v>
      </c>
      <c r="F159" s="2"/>
      <c r="G159" s="2"/>
      <c r="H159" s="2"/>
      <c r="I159" s="2"/>
      <c r="J159" s="2"/>
      <c r="K159" s="208"/>
    </row>
    <row r="160" spans="1:14">
      <c r="A160" s="257"/>
      <c r="B160" s="266"/>
      <c r="C160" s="207"/>
      <c r="D160" s="405"/>
      <c r="E160" s="169">
        <v>2017</v>
      </c>
      <c r="F160" s="2"/>
      <c r="G160" s="2"/>
      <c r="H160" s="2"/>
      <c r="I160" s="2"/>
      <c r="J160" s="2"/>
      <c r="K160" s="208"/>
    </row>
    <row r="161" spans="1:12">
      <c r="A161" s="257"/>
      <c r="B161" s="266"/>
      <c r="C161" s="207"/>
      <c r="D161" s="405"/>
      <c r="E161" s="169">
        <v>2018</v>
      </c>
      <c r="F161" s="2"/>
      <c r="G161" s="2"/>
      <c r="H161" s="2"/>
      <c r="I161" s="2"/>
      <c r="J161" s="2"/>
      <c r="K161" s="208"/>
    </row>
    <row r="162" spans="1:12">
      <c r="A162" s="257"/>
      <c r="B162" s="266"/>
      <c r="C162" s="207"/>
      <c r="D162" s="405"/>
      <c r="E162" s="169">
        <v>2019</v>
      </c>
      <c r="F162" s="2"/>
      <c r="G162" s="2"/>
      <c r="H162" s="2"/>
      <c r="I162" s="2"/>
      <c r="J162" s="2"/>
      <c r="K162" s="208"/>
      <c r="L162" s="108"/>
    </row>
    <row r="163" spans="1:12">
      <c r="A163" s="257"/>
      <c r="B163" s="266"/>
      <c r="C163" s="207"/>
      <c r="D163" s="405"/>
      <c r="E163" s="169">
        <v>2020</v>
      </c>
      <c r="F163" s="2"/>
      <c r="G163" s="2"/>
      <c r="H163" s="2"/>
      <c r="I163" s="2"/>
      <c r="J163" s="2"/>
      <c r="K163" s="208"/>
    </row>
    <row r="164" spans="1:12" ht="92.25" customHeight="1">
      <c r="A164" s="257"/>
      <c r="B164" s="266"/>
      <c r="C164" s="207"/>
      <c r="D164" s="406"/>
      <c r="E164" s="19" t="s">
        <v>18</v>
      </c>
      <c r="F164" s="2"/>
      <c r="G164" s="2"/>
      <c r="H164" s="2"/>
      <c r="I164" s="2"/>
      <c r="J164" s="2"/>
      <c r="K164" s="209"/>
    </row>
    <row r="165" spans="1:12">
      <c r="A165" s="256" t="s">
        <v>287</v>
      </c>
      <c r="B165" s="424" t="s">
        <v>236</v>
      </c>
      <c r="C165" s="206" t="s">
        <v>127</v>
      </c>
      <c r="D165" s="405" t="s">
        <v>218</v>
      </c>
      <c r="E165" s="165">
        <v>2015</v>
      </c>
      <c r="F165" s="1"/>
      <c r="G165" s="1"/>
      <c r="H165" s="1"/>
      <c r="I165" s="1"/>
      <c r="J165" s="1"/>
      <c r="K165" s="208" t="s">
        <v>51</v>
      </c>
    </row>
    <row r="166" spans="1:12">
      <c r="A166" s="257"/>
      <c r="B166" s="424"/>
      <c r="C166" s="207"/>
      <c r="D166" s="405"/>
      <c r="E166" s="169">
        <v>2016</v>
      </c>
      <c r="F166" s="2"/>
      <c r="G166" s="2"/>
      <c r="H166" s="2"/>
      <c r="I166" s="2"/>
      <c r="J166" s="2"/>
      <c r="K166" s="208"/>
    </row>
    <row r="167" spans="1:12">
      <c r="A167" s="257"/>
      <c r="B167" s="424"/>
      <c r="C167" s="207"/>
      <c r="D167" s="405"/>
      <c r="E167" s="169">
        <v>2017</v>
      </c>
      <c r="F167" s="2"/>
      <c r="G167" s="2"/>
      <c r="H167" s="2"/>
      <c r="I167" s="2"/>
      <c r="J167" s="2"/>
      <c r="K167" s="208"/>
      <c r="L167" s="108"/>
    </row>
    <row r="168" spans="1:12">
      <c r="A168" s="257"/>
      <c r="B168" s="424"/>
      <c r="C168" s="207"/>
      <c r="D168" s="405"/>
      <c r="E168" s="169">
        <v>2018</v>
      </c>
      <c r="F168" s="2"/>
      <c r="G168" s="2"/>
      <c r="H168" s="2"/>
      <c r="I168" s="2"/>
      <c r="J168" s="2"/>
      <c r="K168" s="208"/>
    </row>
    <row r="169" spans="1:12">
      <c r="A169" s="257"/>
      <c r="B169" s="424"/>
      <c r="C169" s="207"/>
      <c r="D169" s="405"/>
      <c r="E169" s="169">
        <v>2019</v>
      </c>
      <c r="F169" s="2"/>
      <c r="G169" s="2"/>
      <c r="H169" s="2"/>
      <c r="I169" s="2"/>
      <c r="J169" s="2"/>
      <c r="K169" s="208"/>
    </row>
    <row r="170" spans="1:12">
      <c r="A170" s="257"/>
      <c r="B170" s="424"/>
      <c r="C170" s="207"/>
      <c r="D170" s="405"/>
      <c r="E170" s="169">
        <v>2020</v>
      </c>
      <c r="F170" s="2"/>
      <c r="G170" s="2"/>
      <c r="H170" s="2"/>
      <c r="I170" s="2"/>
      <c r="J170" s="2"/>
      <c r="K170" s="208"/>
    </row>
    <row r="171" spans="1:12" ht="77.25" customHeight="1">
      <c r="A171" s="257"/>
      <c r="B171" s="425"/>
      <c r="C171" s="207"/>
      <c r="D171" s="406"/>
      <c r="E171" s="19" t="s">
        <v>18</v>
      </c>
      <c r="F171" s="2"/>
      <c r="G171" s="2"/>
      <c r="H171" s="2"/>
      <c r="I171" s="2"/>
      <c r="J171" s="2"/>
      <c r="K171" s="209"/>
    </row>
    <row r="172" spans="1:12">
      <c r="A172" s="257" t="s">
        <v>288</v>
      </c>
      <c r="B172" s="238" t="s">
        <v>52</v>
      </c>
      <c r="C172" s="206" t="s">
        <v>127</v>
      </c>
      <c r="D172" s="404" t="s">
        <v>218</v>
      </c>
      <c r="E172" s="169">
        <v>2015</v>
      </c>
      <c r="F172" s="415" t="s">
        <v>53</v>
      </c>
      <c r="G172" s="416"/>
      <c r="H172" s="416"/>
      <c r="I172" s="416"/>
      <c r="J172" s="417"/>
      <c r="K172" s="201" t="s">
        <v>54</v>
      </c>
    </row>
    <row r="173" spans="1:12">
      <c r="A173" s="257"/>
      <c r="B173" s="292"/>
      <c r="C173" s="207"/>
      <c r="D173" s="405"/>
      <c r="E173" s="169">
        <v>2016</v>
      </c>
      <c r="F173" s="418"/>
      <c r="G173" s="419"/>
      <c r="H173" s="419"/>
      <c r="I173" s="419"/>
      <c r="J173" s="420"/>
      <c r="K173" s="208"/>
    </row>
    <row r="174" spans="1:12">
      <c r="A174" s="257"/>
      <c r="B174" s="292"/>
      <c r="C174" s="207"/>
      <c r="D174" s="405"/>
      <c r="E174" s="169">
        <v>2017</v>
      </c>
      <c r="F174" s="418"/>
      <c r="G174" s="419"/>
      <c r="H174" s="419"/>
      <c r="I174" s="419"/>
      <c r="J174" s="420"/>
      <c r="K174" s="208"/>
    </row>
    <row r="175" spans="1:12">
      <c r="A175" s="257"/>
      <c r="B175" s="292"/>
      <c r="C175" s="207"/>
      <c r="D175" s="405"/>
      <c r="E175" s="169">
        <v>2018</v>
      </c>
      <c r="F175" s="418"/>
      <c r="G175" s="419"/>
      <c r="H175" s="419"/>
      <c r="I175" s="419"/>
      <c r="J175" s="420"/>
      <c r="K175" s="208"/>
      <c r="L175" s="108"/>
    </row>
    <row r="176" spans="1:12">
      <c r="A176" s="257"/>
      <c r="B176" s="292"/>
      <c r="C176" s="207"/>
      <c r="D176" s="405"/>
      <c r="E176" s="169">
        <v>2019</v>
      </c>
      <c r="F176" s="418"/>
      <c r="G176" s="419"/>
      <c r="H176" s="419"/>
      <c r="I176" s="419"/>
      <c r="J176" s="420"/>
      <c r="K176" s="208"/>
    </row>
    <row r="177" spans="1:16">
      <c r="A177" s="257"/>
      <c r="B177" s="292"/>
      <c r="C177" s="207"/>
      <c r="D177" s="405"/>
      <c r="E177" s="169">
        <v>2020</v>
      </c>
      <c r="F177" s="418"/>
      <c r="G177" s="419"/>
      <c r="H177" s="419"/>
      <c r="I177" s="419"/>
      <c r="J177" s="420"/>
      <c r="K177" s="208"/>
    </row>
    <row r="178" spans="1:16" ht="15.75" customHeight="1">
      <c r="A178" s="257"/>
      <c r="B178" s="239"/>
      <c r="C178" s="207"/>
      <c r="D178" s="406"/>
      <c r="E178" s="19" t="s">
        <v>18</v>
      </c>
      <c r="F178" s="421"/>
      <c r="G178" s="422"/>
      <c r="H178" s="422"/>
      <c r="I178" s="422"/>
      <c r="J178" s="423"/>
      <c r="K178" s="208"/>
    </row>
    <row r="179" spans="1:16">
      <c r="A179" s="257" t="s">
        <v>289</v>
      </c>
      <c r="B179" s="265" t="s">
        <v>55</v>
      </c>
      <c r="C179" s="206" t="s">
        <v>127</v>
      </c>
      <c r="D179" s="404" t="s">
        <v>218</v>
      </c>
      <c r="E179" s="169">
        <v>2015</v>
      </c>
      <c r="F179" s="275" t="s">
        <v>56</v>
      </c>
      <c r="G179" s="276"/>
      <c r="H179" s="276"/>
      <c r="I179" s="276"/>
      <c r="J179" s="277"/>
      <c r="K179" s="202"/>
    </row>
    <row r="180" spans="1:16">
      <c r="A180" s="257"/>
      <c r="B180" s="265"/>
      <c r="C180" s="207"/>
      <c r="D180" s="405"/>
      <c r="E180" s="169">
        <v>2016</v>
      </c>
      <c r="F180" s="278"/>
      <c r="G180" s="279"/>
      <c r="H180" s="279"/>
      <c r="I180" s="279"/>
      <c r="J180" s="280"/>
      <c r="K180" s="202"/>
    </row>
    <row r="181" spans="1:16">
      <c r="A181" s="257"/>
      <c r="B181" s="265"/>
      <c r="C181" s="207"/>
      <c r="D181" s="405"/>
      <c r="E181" s="169">
        <v>2017</v>
      </c>
      <c r="F181" s="278"/>
      <c r="G181" s="279"/>
      <c r="H181" s="279"/>
      <c r="I181" s="279"/>
      <c r="J181" s="280"/>
      <c r="K181" s="202"/>
    </row>
    <row r="182" spans="1:16">
      <c r="A182" s="257"/>
      <c r="B182" s="265"/>
      <c r="C182" s="207"/>
      <c r="D182" s="405"/>
      <c r="E182" s="169">
        <v>2018</v>
      </c>
      <c r="F182" s="278"/>
      <c r="G182" s="279"/>
      <c r="H182" s="279"/>
      <c r="I182" s="279"/>
      <c r="J182" s="280"/>
      <c r="K182" s="202"/>
    </row>
    <row r="183" spans="1:16">
      <c r="A183" s="257"/>
      <c r="B183" s="265"/>
      <c r="C183" s="207"/>
      <c r="D183" s="405"/>
      <c r="E183" s="169">
        <v>2019</v>
      </c>
      <c r="F183" s="278"/>
      <c r="G183" s="279"/>
      <c r="H183" s="279"/>
      <c r="I183" s="279"/>
      <c r="J183" s="280"/>
      <c r="K183" s="202"/>
    </row>
    <row r="184" spans="1:16">
      <c r="A184" s="257"/>
      <c r="B184" s="265"/>
      <c r="C184" s="207"/>
      <c r="D184" s="405"/>
      <c r="E184" s="169">
        <v>2020</v>
      </c>
      <c r="F184" s="281"/>
      <c r="G184" s="282"/>
      <c r="H184" s="282"/>
      <c r="I184" s="282"/>
      <c r="J184" s="283"/>
      <c r="K184" s="202"/>
    </row>
    <row r="185" spans="1:16">
      <c r="A185" s="257"/>
      <c r="B185" s="265"/>
      <c r="C185" s="207"/>
      <c r="D185" s="406"/>
      <c r="E185" s="27" t="s">
        <v>18</v>
      </c>
      <c r="F185" s="164"/>
      <c r="G185" s="164"/>
      <c r="H185" s="164"/>
      <c r="I185" s="164"/>
      <c r="J185" s="164"/>
      <c r="K185" s="203"/>
    </row>
    <row r="186" spans="1:16" ht="14.25" customHeight="1">
      <c r="A186" s="409" t="s">
        <v>290</v>
      </c>
      <c r="B186" s="238" t="s">
        <v>129</v>
      </c>
      <c r="C186" s="232" t="s">
        <v>127</v>
      </c>
      <c r="D186" s="201" t="s">
        <v>218</v>
      </c>
      <c r="E186" s="169">
        <v>2016</v>
      </c>
      <c r="F186" s="7">
        <f>SUM(G186:J186)</f>
        <v>12886.900000000001</v>
      </c>
      <c r="G186" s="10"/>
      <c r="H186" s="10">
        <f>13077.7-190.8</f>
        <v>12886.900000000001</v>
      </c>
      <c r="I186" s="10"/>
      <c r="J186" s="23"/>
      <c r="K186" s="201" t="s">
        <v>141</v>
      </c>
    </row>
    <row r="187" spans="1:16" ht="14.25" customHeight="1">
      <c r="A187" s="410"/>
      <c r="B187" s="407"/>
      <c r="C187" s="233"/>
      <c r="D187" s="208"/>
      <c r="E187" s="169">
        <v>2017</v>
      </c>
      <c r="F187" s="7">
        <f t="shared" ref="F187:F188" si="11">SUM(G187:J187)</f>
        <v>12955</v>
      </c>
      <c r="G187" s="10"/>
      <c r="H187" s="10">
        <f>12995.9-40.9</f>
        <v>12955</v>
      </c>
      <c r="I187" s="10"/>
      <c r="J187" s="23"/>
      <c r="K187" s="208"/>
      <c r="L187" s="108"/>
    </row>
    <row r="188" spans="1:16" ht="15" customHeight="1">
      <c r="A188" s="410"/>
      <c r="B188" s="407"/>
      <c r="C188" s="233"/>
      <c r="D188" s="208"/>
      <c r="E188" s="169">
        <v>2018</v>
      </c>
      <c r="F188" s="7">
        <f t="shared" si="11"/>
        <v>9994.9</v>
      </c>
      <c r="G188" s="10"/>
      <c r="H188" s="10">
        <v>9994.9</v>
      </c>
      <c r="I188" s="10"/>
      <c r="J188" s="23"/>
      <c r="K188" s="208"/>
    </row>
    <row r="189" spans="1:16" ht="13.5" customHeight="1">
      <c r="A189" s="410"/>
      <c r="B189" s="407"/>
      <c r="C189" s="233"/>
      <c r="D189" s="208"/>
      <c r="E189" s="169">
        <v>2019</v>
      </c>
      <c r="F189" s="7">
        <f t="shared" ref="F189" si="12">SUM(G189:J189)</f>
        <v>9994.9</v>
      </c>
      <c r="G189" s="10"/>
      <c r="H189" s="10">
        <v>9994.9</v>
      </c>
      <c r="I189" s="10"/>
      <c r="J189" s="23"/>
      <c r="K189" s="208"/>
      <c r="L189" s="108"/>
    </row>
    <row r="190" spans="1:16" ht="16.5" customHeight="1">
      <c r="A190" s="410"/>
      <c r="B190" s="407"/>
      <c r="C190" s="233"/>
      <c r="D190" s="208"/>
      <c r="E190" s="169">
        <v>2020</v>
      </c>
      <c r="F190" s="10">
        <f>H190</f>
        <v>9994.9</v>
      </c>
      <c r="G190" s="10"/>
      <c r="H190" s="10">
        <v>9994.9</v>
      </c>
      <c r="I190" s="10"/>
      <c r="J190" s="23"/>
      <c r="K190" s="208"/>
    </row>
    <row r="191" spans="1:16" ht="16.5" customHeight="1">
      <c r="A191" s="411"/>
      <c r="B191" s="408"/>
      <c r="C191" s="240"/>
      <c r="D191" s="209"/>
      <c r="E191" s="19" t="s">
        <v>18</v>
      </c>
      <c r="F191" s="10">
        <f>F186+F187+F188+F189+F190</f>
        <v>55826.600000000006</v>
      </c>
      <c r="G191" s="10"/>
      <c r="H191" s="10">
        <f>H186+H187+H188+H189+H190</f>
        <v>55826.600000000006</v>
      </c>
      <c r="I191" s="10"/>
      <c r="J191" s="23"/>
      <c r="K191" s="209"/>
      <c r="P191" s="108"/>
    </row>
    <row r="192" spans="1:16" ht="23.25" customHeight="1">
      <c r="A192" s="412" t="s">
        <v>195</v>
      </c>
      <c r="B192" s="413"/>
      <c r="C192" s="413"/>
      <c r="D192" s="414"/>
      <c r="E192" s="158"/>
      <c r="F192" s="178">
        <f>F185+F171+F164+F150+F157+F191</f>
        <v>2244206.6</v>
      </c>
      <c r="G192" s="178"/>
      <c r="H192" s="178">
        <f>H185+H171+H164+H150+H157+H191</f>
        <v>1938195.9000000001</v>
      </c>
      <c r="I192" s="178">
        <f>I185+I171+I164+I150+I157+I191</f>
        <v>306010.7</v>
      </c>
      <c r="J192" s="17"/>
      <c r="K192" s="38"/>
      <c r="L192" s="126"/>
      <c r="M192" s="108"/>
      <c r="N192" s="126"/>
      <c r="O192" s="108"/>
      <c r="P192" s="126"/>
    </row>
    <row r="193" spans="1:32" ht="25.5" customHeight="1" thickBot="1">
      <c r="A193" s="284" t="s">
        <v>200</v>
      </c>
      <c r="B193" s="266"/>
      <c r="C193" s="266"/>
      <c r="D193" s="266"/>
      <c r="E193" s="97"/>
      <c r="F193" s="179">
        <f>SUM(G193:I193)</f>
        <v>2632323.1</v>
      </c>
      <c r="G193" s="179"/>
      <c r="H193" s="179">
        <f>H192+H115</f>
        <v>2129505.1</v>
      </c>
      <c r="I193" s="179">
        <f>I192+I115</f>
        <v>502818</v>
      </c>
      <c r="J193" s="98"/>
      <c r="K193" s="149"/>
      <c r="L193" s="48"/>
      <c r="M193" s="29"/>
      <c r="N193" s="48"/>
      <c r="O193" s="29"/>
      <c r="P193" s="48"/>
      <c r="Q193" s="113"/>
      <c r="R193" s="29"/>
      <c r="S193" s="113"/>
      <c r="T193" s="29"/>
      <c r="U193" s="29"/>
      <c r="V193" s="29"/>
      <c r="W193" s="29"/>
      <c r="X193" s="29"/>
      <c r="Y193" s="29"/>
      <c r="Z193" s="29"/>
      <c r="AA193" s="29"/>
      <c r="AB193" s="29"/>
    </row>
    <row r="194" spans="1:32" ht="23.25" customHeight="1">
      <c r="A194" s="285" t="s">
        <v>188</v>
      </c>
      <c r="B194" s="286"/>
      <c r="C194" s="286"/>
      <c r="D194" s="286"/>
      <c r="E194" s="286"/>
      <c r="F194" s="286"/>
      <c r="G194" s="286"/>
      <c r="H194" s="286"/>
      <c r="I194" s="286"/>
      <c r="J194" s="286"/>
      <c r="K194" s="286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0"/>
      <c r="AD194" s="40"/>
      <c r="AE194" s="40"/>
      <c r="AF194" s="41"/>
    </row>
    <row r="195" spans="1:32" ht="15.75">
      <c r="A195" s="287" t="s">
        <v>187</v>
      </c>
      <c r="B195" s="288"/>
      <c r="C195" s="289"/>
      <c r="D195" s="288"/>
      <c r="E195" s="288"/>
      <c r="F195" s="288"/>
      <c r="G195" s="288"/>
      <c r="H195" s="288"/>
      <c r="I195" s="288"/>
      <c r="J195" s="288"/>
      <c r="K195" s="288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3"/>
    </row>
    <row r="196" spans="1:32" ht="12.75" customHeight="1">
      <c r="A196" s="290" t="s">
        <v>16</v>
      </c>
      <c r="B196" s="265" t="s">
        <v>219</v>
      </c>
      <c r="C196" s="206" t="s">
        <v>144</v>
      </c>
      <c r="D196" s="404" t="s">
        <v>409</v>
      </c>
      <c r="E196" s="169">
        <v>2015</v>
      </c>
      <c r="F196" s="14"/>
      <c r="G196" s="14"/>
      <c r="H196" s="14"/>
      <c r="I196" s="14"/>
      <c r="J196" s="14"/>
      <c r="K196" s="201" t="s">
        <v>142</v>
      </c>
    </row>
    <row r="197" spans="1:32">
      <c r="A197" s="290"/>
      <c r="B197" s="266"/>
      <c r="C197" s="207"/>
      <c r="D197" s="405"/>
      <c r="E197" s="169">
        <v>2016</v>
      </c>
      <c r="F197" s="14"/>
      <c r="G197" s="14"/>
      <c r="H197" s="14"/>
      <c r="I197" s="14"/>
      <c r="J197" s="14"/>
      <c r="K197" s="208"/>
    </row>
    <row r="198" spans="1:32">
      <c r="A198" s="290"/>
      <c r="B198" s="266"/>
      <c r="C198" s="207"/>
      <c r="D198" s="405"/>
      <c r="E198" s="169">
        <v>2017</v>
      </c>
      <c r="F198" s="14"/>
      <c r="G198" s="14"/>
      <c r="H198" s="14"/>
      <c r="I198" s="14"/>
      <c r="J198" s="14"/>
      <c r="K198" s="208"/>
      <c r="L198" s="108"/>
    </row>
    <row r="199" spans="1:32">
      <c r="A199" s="290"/>
      <c r="B199" s="266"/>
      <c r="C199" s="207"/>
      <c r="D199" s="405"/>
      <c r="E199" s="169">
        <v>2018</v>
      </c>
      <c r="F199" s="14"/>
      <c r="G199" s="14"/>
      <c r="H199" s="14"/>
      <c r="I199" s="14"/>
      <c r="J199" s="14"/>
      <c r="K199" s="208"/>
    </row>
    <row r="200" spans="1:32">
      <c r="A200" s="290"/>
      <c r="B200" s="266"/>
      <c r="C200" s="207"/>
      <c r="D200" s="405"/>
      <c r="E200" s="169">
        <v>2019</v>
      </c>
      <c r="F200" s="14">
        <f>SUM(G200:J200)</f>
        <v>0</v>
      </c>
      <c r="G200" s="14"/>
      <c r="H200" s="14">
        <f>85230-85230</f>
        <v>0</v>
      </c>
      <c r="I200" s="14">
        <f>860.9-860.9</f>
        <v>0</v>
      </c>
      <c r="J200" s="14"/>
      <c r="K200" s="208"/>
    </row>
    <row r="201" spans="1:32">
      <c r="A201" s="290"/>
      <c r="B201" s="266"/>
      <c r="C201" s="207"/>
      <c r="D201" s="405"/>
      <c r="E201" s="169">
        <v>2020</v>
      </c>
      <c r="F201" s="14">
        <f>SUM(G201:J201)</f>
        <v>0</v>
      </c>
      <c r="G201" s="14"/>
      <c r="H201" s="14">
        <v>0</v>
      </c>
      <c r="I201" s="14">
        <v>0</v>
      </c>
      <c r="J201" s="14"/>
      <c r="K201" s="208"/>
    </row>
    <row r="202" spans="1:32">
      <c r="A202" s="290"/>
      <c r="B202" s="267"/>
      <c r="C202" s="207"/>
      <c r="D202" s="406"/>
      <c r="E202" s="19" t="s">
        <v>18</v>
      </c>
      <c r="F202" s="13">
        <f>SUM(F196:F201)</f>
        <v>0</v>
      </c>
      <c r="G202" s="13">
        <f>SUM(G196:G201)</f>
        <v>0</v>
      </c>
      <c r="H202" s="13">
        <f>SUM(H196:H201)</f>
        <v>0</v>
      </c>
      <c r="I202" s="13">
        <f>SUM(I196:I201)</f>
        <v>0</v>
      </c>
      <c r="J202" s="14"/>
      <c r="K202" s="209"/>
    </row>
    <row r="203" spans="1:32" ht="12.75" customHeight="1">
      <c r="A203" s="290" t="s">
        <v>19</v>
      </c>
      <c r="B203" s="265" t="s">
        <v>57</v>
      </c>
      <c r="C203" s="206" t="s">
        <v>58</v>
      </c>
      <c r="D203" s="404" t="s">
        <v>412</v>
      </c>
      <c r="E203" s="169">
        <v>2015</v>
      </c>
      <c r="F203" s="7">
        <f>SUM(G203:I203)</f>
        <v>11594</v>
      </c>
      <c r="G203" s="7"/>
      <c r="H203" s="7">
        <f>9200+2278</f>
        <v>11478</v>
      </c>
      <c r="I203" s="7">
        <f>92.9+23.1</f>
        <v>116</v>
      </c>
      <c r="J203" s="14"/>
      <c r="K203" s="201" t="s">
        <v>143</v>
      </c>
    </row>
    <row r="204" spans="1:32" ht="15">
      <c r="A204" s="290"/>
      <c r="B204" s="266"/>
      <c r="C204" s="207"/>
      <c r="D204" s="405"/>
      <c r="E204" s="169">
        <v>2016</v>
      </c>
      <c r="F204" s="7">
        <f>SUM(G204:I204)</f>
        <v>19796.5</v>
      </c>
      <c r="G204" s="7"/>
      <c r="H204" s="7">
        <v>19593.599999999999</v>
      </c>
      <c r="I204" s="7">
        <f>198+4.9</f>
        <v>202.9</v>
      </c>
      <c r="J204" s="14"/>
      <c r="K204" s="208"/>
    </row>
    <row r="205" spans="1:32" ht="15">
      <c r="A205" s="290"/>
      <c r="B205" s="266"/>
      <c r="C205" s="207"/>
      <c r="D205" s="405"/>
      <c r="E205" s="169">
        <v>2017</v>
      </c>
      <c r="F205" s="7"/>
      <c r="G205" s="7"/>
      <c r="H205" s="7"/>
      <c r="I205" s="7"/>
      <c r="J205" s="14"/>
      <c r="K205" s="208"/>
    </row>
    <row r="206" spans="1:32" ht="15">
      <c r="A206" s="290"/>
      <c r="B206" s="266"/>
      <c r="C206" s="207"/>
      <c r="D206" s="405"/>
      <c r="E206" s="169">
        <v>2018</v>
      </c>
      <c r="F206" s="7"/>
      <c r="G206" s="7"/>
      <c r="H206" s="7"/>
      <c r="I206" s="7"/>
      <c r="J206" s="14"/>
      <c r="K206" s="208"/>
      <c r="L206" s="108"/>
    </row>
    <row r="207" spans="1:32" ht="15">
      <c r="A207" s="290"/>
      <c r="B207" s="266"/>
      <c r="C207" s="207"/>
      <c r="D207" s="405"/>
      <c r="E207" s="169">
        <v>2019</v>
      </c>
      <c r="F207" s="7"/>
      <c r="G207" s="7"/>
      <c r="H207" s="7"/>
      <c r="I207" s="7"/>
      <c r="J207" s="14"/>
      <c r="K207" s="208"/>
    </row>
    <row r="208" spans="1:32" ht="14.25">
      <c r="A208" s="290"/>
      <c r="B208" s="266"/>
      <c r="C208" s="207"/>
      <c r="D208" s="405"/>
      <c r="E208" s="169">
        <v>2020</v>
      </c>
      <c r="F208" s="8"/>
      <c r="G208" s="8"/>
      <c r="H208" s="8"/>
      <c r="I208" s="8"/>
      <c r="J208" s="14"/>
      <c r="K208" s="208"/>
    </row>
    <row r="209" spans="1:33" ht="14.25">
      <c r="A209" s="290"/>
      <c r="B209" s="266"/>
      <c r="C209" s="207"/>
      <c r="D209" s="406"/>
      <c r="E209" s="19" t="s">
        <v>18</v>
      </c>
      <c r="F209" s="8">
        <f>SUM(F203:F208)</f>
        <v>31390.5</v>
      </c>
      <c r="G209" s="8"/>
      <c r="H209" s="8">
        <f>SUM(H203:H208)</f>
        <v>31071.599999999999</v>
      </c>
      <c r="I209" s="8">
        <f>SUM(I203:I208)</f>
        <v>318.89999999999998</v>
      </c>
      <c r="J209" s="14"/>
      <c r="K209" s="209"/>
    </row>
    <row r="210" spans="1:33">
      <c r="A210" s="290" t="s">
        <v>59</v>
      </c>
      <c r="B210" s="265" t="s">
        <v>277</v>
      </c>
      <c r="C210" s="206" t="s">
        <v>145</v>
      </c>
      <c r="D210" s="404" t="s">
        <v>409</v>
      </c>
      <c r="E210" s="169">
        <v>2015</v>
      </c>
      <c r="F210" s="14">
        <f>SUM(G210:I210)</f>
        <v>0</v>
      </c>
      <c r="G210" s="14"/>
      <c r="H210" s="14">
        <f>19500-19500</f>
        <v>0</v>
      </c>
      <c r="I210" s="14">
        <f>197-197</f>
        <v>0</v>
      </c>
      <c r="J210" s="14"/>
      <c r="K210" s="201" t="s">
        <v>181</v>
      </c>
    </row>
    <row r="211" spans="1:33">
      <c r="A211" s="290"/>
      <c r="B211" s="266"/>
      <c r="C211" s="207"/>
      <c r="D211" s="405"/>
      <c r="E211" s="169">
        <v>2016</v>
      </c>
      <c r="F211" s="14">
        <f>SUM(G211:I211)</f>
        <v>0</v>
      </c>
      <c r="G211" s="14"/>
      <c r="H211" s="14">
        <v>0</v>
      </c>
      <c r="I211" s="14">
        <v>0</v>
      </c>
      <c r="J211" s="14"/>
      <c r="K211" s="208"/>
    </row>
    <row r="212" spans="1:33" ht="15">
      <c r="A212" s="290"/>
      <c r="B212" s="266"/>
      <c r="C212" s="207"/>
      <c r="D212" s="405"/>
      <c r="E212" s="169">
        <v>2017</v>
      </c>
      <c r="F212" s="7">
        <f>SUM(G212:I212)</f>
        <v>23206.5</v>
      </c>
      <c r="G212" s="7"/>
      <c r="H212" s="7">
        <v>0</v>
      </c>
      <c r="I212" s="7">
        <f>30000-6793.5</f>
        <v>23206.5</v>
      </c>
      <c r="J212" s="14"/>
      <c r="K212" s="208"/>
      <c r="L212" s="108"/>
    </row>
    <row r="213" spans="1:33" ht="15">
      <c r="A213" s="290"/>
      <c r="B213" s="266"/>
      <c r="C213" s="207"/>
      <c r="D213" s="405"/>
      <c r="E213" s="169">
        <v>2018</v>
      </c>
      <c r="F213" s="7">
        <f>SUM(G213:I213)</f>
        <v>23619.9</v>
      </c>
      <c r="G213" s="7"/>
      <c r="H213" s="7">
        <v>20413.7</v>
      </c>
      <c r="I213" s="7">
        <v>3206.2</v>
      </c>
      <c r="J213" s="14"/>
      <c r="K213" s="208"/>
      <c r="L213" s="108" t="s">
        <v>372</v>
      </c>
      <c r="M213" s="108" t="s">
        <v>374</v>
      </c>
    </row>
    <row r="214" spans="1:33" ht="27.75" customHeight="1">
      <c r="A214" s="290"/>
      <c r="B214" s="266"/>
      <c r="C214" s="207"/>
      <c r="D214" s="406"/>
      <c r="E214" s="19" t="s">
        <v>18</v>
      </c>
      <c r="F214" s="8">
        <f>SUM(F210:F213)</f>
        <v>46826.400000000001</v>
      </c>
      <c r="G214" s="8"/>
      <c r="H214" s="8">
        <f>SUM(H210:H213)</f>
        <v>20413.7</v>
      </c>
      <c r="I214" s="8">
        <f>SUM(I210:I213)</f>
        <v>26412.7</v>
      </c>
      <c r="J214" s="14"/>
      <c r="K214" s="209"/>
    </row>
    <row r="215" spans="1:33" ht="15">
      <c r="A215" s="44" t="s">
        <v>122</v>
      </c>
      <c r="B215" s="155"/>
      <c r="C215" s="36"/>
      <c r="D215" s="45"/>
      <c r="E215" s="19"/>
      <c r="F215" s="3"/>
      <c r="G215" s="3"/>
      <c r="H215" s="3"/>
      <c r="I215" s="3"/>
      <c r="J215" s="2"/>
      <c r="K215" s="169"/>
    </row>
    <row r="216" spans="1:33" ht="15">
      <c r="A216" s="290" t="s">
        <v>60</v>
      </c>
      <c r="B216" s="238" t="s">
        <v>243</v>
      </c>
      <c r="C216" s="232" t="s">
        <v>61</v>
      </c>
      <c r="D216" s="201" t="s">
        <v>408</v>
      </c>
      <c r="E216" s="169">
        <v>2015</v>
      </c>
      <c r="F216" s="7">
        <f t="shared" ref="F216:F221" si="13">SUM(G216:I216)</f>
        <v>11247</v>
      </c>
      <c r="G216" s="7"/>
      <c r="H216" s="7">
        <v>11106</v>
      </c>
      <c r="I216" s="7">
        <f>176.6-5-30.6</f>
        <v>141</v>
      </c>
      <c r="J216" s="14"/>
      <c r="K216" s="201" t="s">
        <v>146</v>
      </c>
    </row>
    <row r="217" spans="1:33" ht="15">
      <c r="A217" s="290"/>
      <c r="B217" s="292"/>
      <c r="C217" s="233"/>
      <c r="D217" s="208"/>
      <c r="E217" s="169">
        <v>2016</v>
      </c>
      <c r="F217" s="7">
        <f t="shared" si="13"/>
        <v>18177.099999999995</v>
      </c>
      <c r="G217" s="7"/>
      <c r="H217" s="7">
        <v>0</v>
      </c>
      <c r="I217" s="7">
        <f>329.1+8010.2+741.4+6855.2- 5378.5-329.1+7910+38.8</f>
        <v>18177.099999999995</v>
      </c>
      <c r="J217" s="14"/>
      <c r="K217" s="208"/>
    </row>
    <row r="218" spans="1:33" ht="15">
      <c r="A218" s="290"/>
      <c r="B218" s="292"/>
      <c r="C218" s="233"/>
      <c r="D218" s="208"/>
      <c r="E218" s="169">
        <v>2017</v>
      </c>
      <c r="F218" s="7">
        <f t="shared" si="13"/>
        <v>11055.7</v>
      </c>
      <c r="G218" s="7"/>
      <c r="H218" s="7">
        <v>0</v>
      </c>
      <c r="I218" s="7">
        <f>10704.2+351.5</f>
        <v>11055.7</v>
      </c>
      <c r="J218" s="14"/>
      <c r="K218" s="208"/>
      <c r="L218" s="108"/>
      <c r="O218" s="108" t="s">
        <v>346</v>
      </c>
      <c r="P218" s="108"/>
    </row>
    <row r="219" spans="1:33">
      <c r="A219" s="290"/>
      <c r="B219" s="292"/>
      <c r="C219" s="233"/>
      <c r="D219" s="208"/>
      <c r="E219" s="169">
        <v>2018</v>
      </c>
      <c r="F219" s="14">
        <f t="shared" si="13"/>
        <v>0</v>
      </c>
      <c r="G219" s="14"/>
      <c r="H219" s="14">
        <f>5675-5675</f>
        <v>0</v>
      </c>
      <c r="I219" s="14">
        <f>299-299</f>
        <v>0</v>
      </c>
      <c r="J219" s="14"/>
      <c r="K219" s="208"/>
    </row>
    <row r="220" spans="1:33">
      <c r="A220" s="290"/>
      <c r="B220" s="292"/>
      <c r="C220" s="233"/>
      <c r="D220" s="208"/>
      <c r="E220" s="169">
        <v>2019</v>
      </c>
      <c r="F220" s="14">
        <f t="shared" si="13"/>
        <v>0</v>
      </c>
      <c r="G220" s="14"/>
      <c r="H220" s="14">
        <f>23675-23675</f>
        <v>0</v>
      </c>
      <c r="I220" s="14">
        <f>1246-1246</f>
        <v>0</v>
      </c>
      <c r="J220" s="14"/>
      <c r="K220" s="208"/>
      <c r="L220" s="108"/>
    </row>
    <row r="221" spans="1:33">
      <c r="A221" s="290"/>
      <c r="B221" s="292"/>
      <c r="C221" s="233"/>
      <c r="D221" s="208"/>
      <c r="E221" s="169">
        <v>2020</v>
      </c>
      <c r="F221" s="14">
        <f t="shared" si="13"/>
        <v>0</v>
      </c>
      <c r="G221" s="14"/>
      <c r="H221" s="14">
        <v>0</v>
      </c>
      <c r="I221" s="14">
        <v>0</v>
      </c>
      <c r="J221" s="14"/>
      <c r="K221" s="208"/>
    </row>
    <row r="222" spans="1:33" ht="60" customHeight="1">
      <c r="A222" s="457"/>
      <c r="B222" s="239"/>
      <c r="C222" s="240"/>
      <c r="D222" s="209"/>
      <c r="E222" s="27" t="s">
        <v>18</v>
      </c>
      <c r="F222" s="9">
        <f>SUM(F216:F221)</f>
        <v>40479.799999999996</v>
      </c>
      <c r="G222" s="9"/>
      <c r="H222" s="9">
        <f>SUM(H216:H221)</f>
        <v>11106</v>
      </c>
      <c r="I222" s="9">
        <f>SUM(I216:I221)</f>
        <v>29373.799999999996</v>
      </c>
      <c r="J222" s="23"/>
      <c r="K222" s="20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</row>
    <row r="223" spans="1:33" ht="15">
      <c r="A223" s="236" t="s">
        <v>244</v>
      </c>
      <c r="B223" s="238" t="s">
        <v>263</v>
      </c>
      <c r="C223" s="232" t="s">
        <v>245</v>
      </c>
      <c r="D223" s="201" t="s">
        <v>408</v>
      </c>
      <c r="E223" s="169">
        <v>2016</v>
      </c>
      <c r="F223" s="7">
        <f t="shared" ref="F223:F224" si="14">SUM(G223:I223)</f>
        <v>63958.799999999996</v>
      </c>
      <c r="G223" s="7"/>
      <c r="H223" s="7">
        <v>63319.199999999997</v>
      </c>
      <c r="I223" s="7">
        <v>639.6</v>
      </c>
      <c r="J223" s="14"/>
      <c r="K223" s="201" t="s">
        <v>146</v>
      </c>
    </row>
    <row r="224" spans="1:33" ht="15">
      <c r="A224" s="469"/>
      <c r="B224" s="292"/>
      <c r="C224" s="233"/>
      <c r="D224" s="208"/>
      <c r="E224" s="169">
        <v>2017</v>
      </c>
      <c r="F224" s="7">
        <f t="shared" si="14"/>
        <v>29803.499999999996</v>
      </c>
      <c r="G224" s="7"/>
      <c r="H224" s="7">
        <f>37157.1-7676.9</f>
        <v>29480.199999999997</v>
      </c>
      <c r="I224" s="7">
        <f>400.8-77.5</f>
        <v>323.3</v>
      </c>
      <c r="J224" s="14"/>
      <c r="K224" s="208"/>
      <c r="L224" s="108" t="s">
        <v>376</v>
      </c>
      <c r="M224" s="108"/>
      <c r="O224" s="134" t="s">
        <v>377</v>
      </c>
      <c r="P224" s="118"/>
      <c r="Q224" s="121"/>
    </row>
    <row r="225" spans="1:33" ht="109.5" customHeight="1">
      <c r="A225" s="237"/>
      <c r="B225" s="239"/>
      <c r="C225" s="240"/>
      <c r="D225" s="209"/>
      <c r="E225" s="27" t="s">
        <v>18</v>
      </c>
      <c r="F225" s="9">
        <f>SUM(F223:F224)</f>
        <v>93762.299999999988</v>
      </c>
      <c r="G225" s="9"/>
      <c r="H225" s="9">
        <f>SUM(H223:H224)</f>
        <v>92799.4</v>
      </c>
      <c r="I225" s="9">
        <f>SUM(I223:I224)</f>
        <v>962.90000000000009</v>
      </c>
      <c r="J225" s="23"/>
      <c r="K225" s="20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</row>
    <row r="226" spans="1:33" ht="15">
      <c r="A226" s="236" t="s">
        <v>246</v>
      </c>
      <c r="B226" s="238" t="s">
        <v>259</v>
      </c>
      <c r="C226" s="232" t="s">
        <v>245</v>
      </c>
      <c r="D226" s="201" t="s">
        <v>408</v>
      </c>
      <c r="E226" s="169">
        <v>2017</v>
      </c>
      <c r="F226" s="7">
        <f t="shared" ref="F226" si="15">SUM(G226:I226)</f>
        <v>18085.100000000002</v>
      </c>
      <c r="G226" s="7"/>
      <c r="H226" s="7">
        <f>22240.4-4343</f>
        <v>17897.400000000001</v>
      </c>
      <c r="I226" s="7">
        <f>224.7-37</f>
        <v>187.7</v>
      </c>
      <c r="J226" s="14"/>
      <c r="K226" s="201" t="s">
        <v>146</v>
      </c>
      <c r="L226" s="108" t="s">
        <v>378</v>
      </c>
      <c r="N226" s="108"/>
    </row>
    <row r="227" spans="1:33" ht="122.25" customHeight="1">
      <c r="A227" s="237"/>
      <c r="B227" s="239"/>
      <c r="C227" s="240"/>
      <c r="D227" s="209"/>
      <c r="E227" s="27" t="s">
        <v>18</v>
      </c>
      <c r="F227" s="9">
        <f>SUM(F226:F226)</f>
        <v>18085.100000000002</v>
      </c>
      <c r="G227" s="9"/>
      <c r="H227" s="9">
        <f>SUM(H226:H226)</f>
        <v>17897.400000000001</v>
      </c>
      <c r="I227" s="9">
        <f>SUM(I226:I226)</f>
        <v>187.7</v>
      </c>
      <c r="J227" s="23"/>
      <c r="K227" s="209"/>
      <c r="L227" s="133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</row>
    <row r="228" spans="1:33" ht="15">
      <c r="A228" s="236" t="s">
        <v>278</v>
      </c>
      <c r="B228" s="238" t="s">
        <v>329</v>
      </c>
      <c r="C228" s="232" t="s">
        <v>245</v>
      </c>
      <c r="D228" s="201" t="s">
        <v>408</v>
      </c>
      <c r="E228" s="169">
        <v>2017</v>
      </c>
      <c r="F228" s="7">
        <f t="shared" ref="F228" si="16">SUM(G228:I228)</f>
        <v>5818.9</v>
      </c>
      <c r="G228" s="7"/>
      <c r="H228" s="7">
        <v>5760.7</v>
      </c>
      <c r="I228" s="7">
        <v>58.2</v>
      </c>
      <c r="J228" s="14"/>
      <c r="K228" s="201" t="s">
        <v>146</v>
      </c>
      <c r="L228" s="113" t="s">
        <v>355</v>
      </c>
    </row>
    <row r="229" spans="1:33" ht="120" customHeight="1">
      <c r="A229" s="237"/>
      <c r="B229" s="239"/>
      <c r="C229" s="240"/>
      <c r="D229" s="209"/>
      <c r="E229" s="27" t="s">
        <v>18</v>
      </c>
      <c r="F229" s="9">
        <f>SUM(F228:F228)</f>
        <v>5818.9</v>
      </c>
      <c r="G229" s="9"/>
      <c r="H229" s="9">
        <f>SUM(H228:H228)</f>
        <v>5760.7</v>
      </c>
      <c r="I229" s="9">
        <f>SUM(I228:I228)</f>
        <v>58.2</v>
      </c>
      <c r="J229" s="23"/>
      <c r="K229" s="20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</row>
    <row r="230" spans="1:33" ht="33" customHeight="1">
      <c r="A230" s="236" t="s">
        <v>343</v>
      </c>
      <c r="B230" s="238" t="s">
        <v>379</v>
      </c>
      <c r="C230" s="232" t="s">
        <v>245</v>
      </c>
      <c r="D230" s="201" t="s">
        <v>408</v>
      </c>
      <c r="E230" s="169">
        <v>2017</v>
      </c>
      <c r="F230" s="7">
        <f t="shared" ref="F230" si="17">SUM(G230:I230)</f>
        <v>2615.6000000000004</v>
      </c>
      <c r="G230" s="7"/>
      <c r="H230" s="7">
        <v>2596.3000000000002</v>
      </c>
      <c r="I230" s="7">
        <v>19.3</v>
      </c>
      <c r="J230" s="14"/>
      <c r="K230" s="201" t="s">
        <v>146</v>
      </c>
      <c r="L230" s="113" t="s">
        <v>355</v>
      </c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</row>
    <row r="231" spans="1:33" ht="92.25" customHeight="1">
      <c r="A231" s="237"/>
      <c r="B231" s="239"/>
      <c r="C231" s="240"/>
      <c r="D231" s="209"/>
      <c r="E231" s="27" t="s">
        <v>18</v>
      </c>
      <c r="F231" s="9">
        <f>SUM(F230:F230)</f>
        <v>2615.6000000000004</v>
      </c>
      <c r="G231" s="9"/>
      <c r="H231" s="9">
        <f>SUM(H230:H230)</f>
        <v>2596.3000000000002</v>
      </c>
      <c r="I231" s="9">
        <f>SUM(I230:I230)</f>
        <v>19.3</v>
      </c>
      <c r="J231" s="23"/>
      <c r="K231" s="209"/>
      <c r="L231" s="113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</row>
    <row r="232" spans="1:33" ht="14.25" customHeight="1">
      <c r="A232" s="332" t="s">
        <v>216</v>
      </c>
      <c r="B232" s="325"/>
      <c r="C232" s="325"/>
      <c r="D232" s="325"/>
      <c r="E232" s="325"/>
      <c r="F232" s="325"/>
      <c r="G232" s="325"/>
      <c r="H232" s="325"/>
      <c r="I232" s="325"/>
      <c r="J232" s="325"/>
      <c r="K232" s="325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29"/>
    </row>
    <row r="233" spans="1:33" ht="15">
      <c r="A233" s="290" t="s">
        <v>119</v>
      </c>
      <c r="B233" s="204" t="s">
        <v>147</v>
      </c>
      <c r="C233" s="232" t="s">
        <v>61</v>
      </c>
      <c r="D233" s="201" t="s">
        <v>408</v>
      </c>
      <c r="E233" s="169">
        <v>2015</v>
      </c>
      <c r="F233" s="7">
        <f>SUM(G233:I233)</f>
        <v>3333.3</v>
      </c>
      <c r="G233" s="7"/>
      <c r="H233" s="7">
        <v>3300</v>
      </c>
      <c r="I233" s="7">
        <v>33.299999999999997</v>
      </c>
      <c r="J233" s="14"/>
      <c r="K233" s="201" t="s">
        <v>146</v>
      </c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</row>
    <row r="234" spans="1:33" ht="15">
      <c r="A234" s="290"/>
      <c r="B234" s="205"/>
      <c r="C234" s="233"/>
      <c r="D234" s="208"/>
      <c r="E234" s="169">
        <v>2016</v>
      </c>
      <c r="F234" s="7">
        <f>SUM(G234:I234)</f>
        <v>7820.0999999999995</v>
      </c>
      <c r="G234" s="7"/>
      <c r="H234" s="7">
        <f>0+7375.9</f>
        <v>7375.9</v>
      </c>
      <c r="I234" s="7">
        <f>369.7+74.5</f>
        <v>444.2</v>
      </c>
      <c r="J234" s="14"/>
      <c r="K234" s="208"/>
    </row>
    <row r="235" spans="1:33" ht="15">
      <c r="A235" s="290"/>
      <c r="B235" s="205"/>
      <c r="C235" s="233"/>
      <c r="D235" s="208"/>
      <c r="E235" s="169">
        <v>2017</v>
      </c>
      <c r="F235" s="7">
        <f>SUM(G235:I235)</f>
        <v>3699.9</v>
      </c>
      <c r="G235" s="7"/>
      <c r="H235" s="7">
        <v>3662.9</v>
      </c>
      <c r="I235" s="7">
        <v>37</v>
      </c>
      <c r="J235" s="14"/>
      <c r="K235" s="208"/>
      <c r="L235" s="4" t="s">
        <v>380</v>
      </c>
    </row>
    <row r="236" spans="1:33">
      <c r="A236" s="290"/>
      <c r="B236" s="205"/>
      <c r="C236" s="233"/>
      <c r="D236" s="208"/>
      <c r="E236" s="169">
        <v>2018</v>
      </c>
      <c r="F236" s="14"/>
      <c r="G236" s="14"/>
      <c r="H236" s="14"/>
      <c r="I236" s="14"/>
      <c r="J236" s="14"/>
      <c r="K236" s="208"/>
    </row>
    <row r="237" spans="1:33">
      <c r="A237" s="290"/>
      <c r="B237" s="205"/>
      <c r="C237" s="233"/>
      <c r="D237" s="208"/>
      <c r="E237" s="169">
        <v>2019</v>
      </c>
      <c r="F237" s="14"/>
      <c r="G237" s="14"/>
      <c r="H237" s="14"/>
      <c r="I237" s="14"/>
      <c r="J237" s="14"/>
      <c r="K237" s="208"/>
    </row>
    <row r="238" spans="1:33">
      <c r="A238" s="290"/>
      <c r="B238" s="205"/>
      <c r="C238" s="233"/>
      <c r="D238" s="208"/>
      <c r="E238" s="169">
        <v>2020</v>
      </c>
      <c r="F238" s="14"/>
      <c r="G238" s="14"/>
      <c r="H238" s="14"/>
      <c r="I238" s="14"/>
      <c r="J238" s="14"/>
      <c r="K238" s="208"/>
    </row>
    <row r="239" spans="1:33" ht="60.75" customHeight="1">
      <c r="A239" s="290"/>
      <c r="B239" s="205"/>
      <c r="C239" s="240"/>
      <c r="D239" s="209"/>
      <c r="E239" s="19" t="s">
        <v>18</v>
      </c>
      <c r="F239" s="8">
        <f>SUM(F233:F238)</f>
        <v>14853.3</v>
      </c>
      <c r="G239" s="8"/>
      <c r="H239" s="8">
        <f>SUM(H233:H238)</f>
        <v>14338.8</v>
      </c>
      <c r="I239" s="8">
        <f>SUM(I233:I238)</f>
        <v>514.5</v>
      </c>
      <c r="J239" s="14"/>
      <c r="K239" s="209"/>
    </row>
    <row r="240" spans="1:33" ht="15" customHeight="1">
      <c r="A240" s="228" t="s">
        <v>279</v>
      </c>
      <c r="B240" s="230" t="s">
        <v>248</v>
      </c>
      <c r="C240" s="232" t="s">
        <v>217</v>
      </c>
      <c r="D240" s="201" t="s">
        <v>218</v>
      </c>
      <c r="E240" s="169">
        <v>2016</v>
      </c>
      <c r="F240" s="10">
        <f>G240+H240+I240</f>
        <v>10976.3</v>
      </c>
      <c r="G240" s="9"/>
      <c r="H240" s="9"/>
      <c r="I240" s="10">
        <f>5500+3899.9+1247.3+329.1</f>
        <v>10976.3</v>
      </c>
      <c r="J240" s="23"/>
      <c r="K240" s="201" t="s">
        <v>140</v>
      </c>
    </row>
    <row r="241" spans="1:32" ht="13.5" customHeight="1">
      <c r="A241" s="229"/>
      <c r="B241" s="231"/>
      <c r="C241" s="233"/>
      <c r="D241" s="208"/>
      <c r="E241" s="169">
        <v>2017</v>
      </c>
      <c r="F241" s="10">
        <f>G241+H241+I241</f>
        <v>6064</v>
      </c>
      <c r="G241" s="9"/>
      <c r="H241" s="9"/>
      <c r="I241" s="10">
        <f>6314-250</f>
        <v>6064</v>
      </c>
      <c r="J241" s="23"/>
      <c r="K241" s="208"/>
      <c r="L241" s="173"/>
      <c r="M241" s="295"/>
      <c r="N241" s="295"/>
      <c r="O241" s="295"/>
      <c r="P241" s="108" t="s">
        <v>249</v>
      </c>
    </row>
    <row r="242" spans="1:32" ht="18.75" customHeight="1">
      <c r="A242" s="229"/>
      <c r="B242" s="231"/>
      <c r="C242" s="233"/>
      <c r="D242" s="208"/>
      <c r="E242" s="169">
        <v>2018</v>
      </c>
      <c r="F242" s="10">
        <f>G242+H242+I242</f>
        <v>1350</v>
      </c>
      <c r="G242" s="9"/>
      <c r="H242" s="9"/>
      <c r="I242" s="10">
        <v>1350</v>
      </c>
      <c r="J242" s="23"/>
      <c r="K242" s="208"/>
      <c r="L242" s="108"/>
      <c r="M242" s="108" t="s">
        <v>251</v>
      </c>
    </row>
    <row r="243" spans="1:32" ht="16.5" customHeight="1">
      <c r="A243" s="229"/>
      <c r="B243" s="231"/>
      <c r="C243" s="233"/>
      <c r="D243" s="208"/>
      <c r="E243" s="169">
        <v>2019</v>
      </c>
      <c r="F243" s="10">
        <f>G243+H243+I243</f>
        <v>1448</v>
      </c>
      <c r="G243" s="9"/>
      <c r="H243" s="9"/>
      <c r="I243" s="10">
        <v>1448</v>
      </c>
      <c r="J243" s="23"/>
      <c r="K243" s="208"/>
      <c r="L243" s="108"/>
      <c r="M243" s="108" t="s">
        <v>252</v>
      </c>
    </row>
    <row r="244" spans="1:32" ht="15.75" customHeight="1">
      <c r="A244" s="229"/>
      <c r="B244" s="231"/>
      <c r="C244" s="233"/>
      <c r="D244" s="208"/>
      <c r="E244" s="169">
        <v>2020</v>
      </c>
      <c r="F244" s="10">
        <v>0</v>
      </c>
      <c r="G244" s="10"/>
      <c r="H244" s="10"/>
      <c r="I244" s="10">
        <v>0</v>
      </c>
      <c r="J244" s="23"/>
      <c r="K244" s="208"/>
    </row>
    <row r="245" spans="1:32" ht="16.5" customHeight="1">
      <c r="A245" s="291"/>
      <c r="B245" s="215"/>
      <c r="C245" s="240"/>
      <c r="D245" s="209"/>
      <c r="E245" s="27" t="s">
        <v>18</v>
      </c>
      <c r="F245" s="9">
        <f>SUM(F240:F244)</f>
        <v>19838.3</v>
      </c>
      <c r="G245" s="9"/>
      <c r="H245" s="9">
        <v>0</v>
      </c>
      <c r="I245" s="9">
        <f>SUM(I240:I244)</f>
        <v>19838.3</v>
      </c>
      <c r="J245" s="23"/>
      <c r="K245" s="209"/>
    </row>
    <row r="246" spans="1:32" ht="15" customHeight="1">
      <c r="A246" s="332" t="s">
        <v>410</v>
      </c>
      <c r="B246" s="472"/>
      <c r="C246" s="472"/>
      <c r="D246" s="472"/>
      <c r="E246" s="472"/>
      <c r="F246" s="472"/>
      <c r="G246" s="472"/>
      <c r="H246" s="472"/>
      <c r="I246" s="472"/>
      <c r="J246" s="472"/>
      <c r="K246" s="472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</row>
    <row r="247" spans="1:32" ht="12.75" customHeight="1">
      <c r="A247" s="264" t="s">
        <v>282</v>
      </c>
      <c r="B247" s="204" t="s">
        <v>315</v>
      </c>
      <c r="C247" s="206" t="s">
        <v>61</v>
      </c>
      <c r="D247" s="342" t="s">
        <v>218</v>
      </c>
      <c r="E247" s="169">
        <v>2015</v>
      </c>
      <c r="F247" s="7">
        <f t="shared" ref="F247:F252" si="18">SUM(G247:I247)</f>
        <v>28178.2</v>
      </c>
      <c r="G247" s="7"/>
      <c r="H247" s="7"/>
      <c r="I247" s="7">
        <f>27846.2+850-518</f>
        <v>28178.2</v>
      </c>
      <c r="J247" s="14"/>
      <c r="K247" s="201" t="s">
        <v>138</v>
      </c>
      <c r="L247" s="113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</row>
    <row r="248" spans="1:32" ht="12.75" customHeight="1">
      <c r="A248" s="264"/>
      <c r="B248" s="205"/>
      <c r="C248" s="206"/>
      <c r="D248" s="342"/>
      <c r="E248" s="169">
        <v>2016</v>
      </c>
      <c r="F248" s="7">
        <f t="shared" si="18"/>
        <v>27397.3</v>
      </c>
      <c r="G248" s="7"/>
      <c r="H248" s="7"/>
      <c r="I248" s="7">
        <f>29107-180-453.2-1076.5</f>
        <v>27397.3</v>
      </c>
      <c r="J248" s="14"/>
      <c r="K248" s="208"/>
      <c r="L248" s="48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</row>
    <row r="249" spans="1:32" ht="12.75" customHeight="1">
      <c r="A249" s="264"/>
      <c r="B249" s="205"/>
      <c r="C249" s="206"/>
      <c r="D249" s="342"/>
      <c r="E249" s="169">
        <v>2017</v>
      </c>
      <c r="F249" s="7">
        <f t="shared" si="18"/>
        <v>60180.4</v>
      </c>
      <c r="G249" s="7"/>
      <c r="H249" s="7"/>
      <c r="I249" s="7">
        <f>28167.4+27751.9+4261.1</f>
        <v>60180.4</v>
      </c>
      <c r="J249" s="14"/>
      <c r="K249" s="208"/>
      <c r="L249" s="113"/>
      <c r="M249" s="113" t="s">
        <v>370</v>
      </c>
      <c r="N249" s="29"/>
      <c r="O249" s="113" t="s">
        <v>366</v>
      </c>
      <c r="P249" s="113">
        <v>861.1</v>
      </c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</row>
    <row r="250" spans="1:32" ht="12.75" customHeight="1">
      <c r="A250" s="264"/>
      <c r="B250" s="205"/>
      <c r="C250" s="206"/>
      <c r="D250" s="342"/>
      <c r="E250" s="169">
        <v>2018</v>
      </c>
      <c r="F250" s="7">
        <f t="shared" si="18"/>
        <v>65345.4</v>
      </c>
      <c r="G250" s="7"/>
      <c r="H250" s="7">
        <v>1042.9000000000001</v>
      </c>
      <c r="I250" s="7">
        <v>64302.5</v>
      </c>
      <c r="J250" s="14"/>
      <c r="K250" s="208"/>
      <c r="L250" s="113"/>
      <c r="M250" s="113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</row>
    <row r="251" spans="1:32" ht="12.75" customHeight="1">
      <c r="A251" s="264"/>
      <c r="B251" s="205"/>
      <c r="C251" s="206"/>
      <c r="D251" s="342"/>
      <c r="E251" s="169">
        <v>2019</v>
      </c>
      <c r="F251" s="7">
        <f t="shared" si="18"/>
        <v>32106.300000000003</v>
      </c>
      <c r="G251" s="7"/>
      <c r="H251" s="7">
        <v>1042.9000000000001</v>
      </c>
      <c r="I251" s="7">
        <v>31063.4</v>
      </c>
      <c r="J251" s="14"/>
      <c r="K251" s="208"/>
      <c r="L251" s="113"/>
      <c r="M251" s="113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</row>
    <row r="252" spans="1:32" ht="12.75" customHeight="1">
      <c r="A252" s="264"/>
      <c r="B252" s="205"/>
      <c r="C252" s="206"/>
      <c r="D252" s="342"/>
      <c r="E252" s="169">
        <v>2020</v>
      </c>
      <c r="F252" s="7">
        <f t="shared" si="18"/>
        <v>8749</v>
      </c>
      <c r="G252" s="7"/>
      <c r="H252" s="7">
        <v>1042.9000000000001</v>
      </c>
      <c r="I252" s="7">
        <v>7706.1</v>
      </c>
      <c r="J252" s="14"/>
      <c r="K252" s="208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</row>
    <row r="253" spans="1:32" ht="36" customHeight="1">
      <c r="A253" s="264"/>
      <c r="B253" s="205"/>
      <c r="C253" s="206"/>
      <c r="D253" s="342"/>
      <c r="E253" s="27" t="s">
        <v>18</v>
      </c>
      <c r="F253" s="9">
        <f>SUM(F247:F252)</f>
        <v>221956.59999999998</v>
      </c>
      <c r="G253" s="9"/>
      <c r="H253" s="9">
        <f>SUM(H247:H252)</f>
        <v>3128.7000000000003</v>
      </c>
      <c r="I253" s="9">
        <f>SUM(I247:I252)</f>
        <v>218827.9</v>
      </c>
      <c r="J253" s="23"/>
      <c r="K253" s="209"/>
    </row>
    <row r="254" spans="1:32" ht="12.75" customHeight="1">
      <c r="A254" s="264" t="s">
        <v>283</v>
      </c>
      <c r="B254" s="204" t="s">
        <v>264</v>
      </c>
      <c r="C254" s="206" t="s">
        <v>61</v>
      </c>
      <c r="D254" s="342" t="s">
        <v>218</v>
      </c>
      <c r="E254" s="169">
        <v>2017</v>
      </c>
      <c r="F254" s="7">
        <f t="shared" ref="F254:F257" si="19">SUM(G254:I254)</f>
        <v>4240.7</v>
      </c>
      <c r="G254" s="7"/>
      <c r="H254" s="7"/>
      <c r="I254" s="7">
        <f>4186+54.7</f>
        <v>4240.7</v>
      </c>
      <c r="J254" s="14"/>
      <c r="K254" s="201" t="s">
        <v>272</v>
      </c>
      <c r="L254" s="113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</row>
    <row r="255" spans="1:32" ht="12.75" customHeight="1">
      <c r="A255" s="264"/>
      <c r="B255" s="205"/>
      <c r="C255" s="206"/>
      <c r="D255" s="342"/>
      <c r="E255" s="169">
        <v>2018</v>
      </c>
      <c r="F255" s="14">
        <f t="shared" si="19"/>
        <v>0</v>
      </c>
      <c r="G255" s="14"/>
      <c r="H255" s="14"/>
      <c r="I255" s="14"/>
      <c r="J255" s="14"/>
      <c r="K255" s="208"/>
      <c r="L255" s="48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</row>
    <row r="256" spans="1:32" ht="12.75" customHeight="1">
      <c r="A256" s="264"/>
      <c r="B256" s="205"/>
      <c r="C256" s="206"/>
      <c r="D256" s="342"/>
      <c r="E256" s="169">
        <v>2019</v>
      </c>
      <c r="F256" s="14">
        <f t="shared" si="19"/>
        <v>0</v>
      </c>
      <c r="G256" s="14"/>
      <c r="H256" s="14"/>
      <c r="I256" s="14"/>
      <c r="J256" s="14"/>
      <c r="K256" s="208"/>
      <c r="L256" s="113"/>
      <c r="M256" s="113" t="s">
        <v>253</v>
      </c>
      <c r="N256" s="29"/>
      <c r="O256" s="29"/>
      <c r="P256" s="113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</row>
    <row r="257" spans="1:32" ht="12.75" customHeight="1">
      <c r="A257" s="264"/>
      <c r="B257" s="205"/>
      <c r="C257" s="206"/>
      <c r="D257" s="342"/>
      <c r="E257" s="169">
        <v>2020</v>
      </c>
      <c r="F257" s="14">
        <f t="shared" si="19"/>
        <v>0</v>
      </c>
      <c r="G257" s="14"/>
      <c r="H257" s="14"/>
      <c r="I257" s="14"/>
      <c r="J257" s="14"/>
      <c r="K257" s="208"/>
      <c r="L257" s="113"/>
      <c r="M257" s="113" t="s">
        <v>254</v>
      </c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</row>
    <row r="258" spans="1:32" ht="36" customHeight="1">
      <c r="A258" s="264"/>
      <c r="B258" s="205"/>
      <c r="C258" s="206"/>
      <c r="D258" s="342"/>
      <c r="E258" s="27" t="s">
        <v>18</v>
      </c>
      <c r="F258" s="9">
        <f>SUM(F254:F257)</f>
        <v>4240.7</v>
      </c>
      <c r="G258" s="9"/>
      <c r="H258" s="9"/>
      <c r="I258" s="9">
        <f>SUM(I254:I257)</f>
        <v>4240.7</v>
      </c>
      <c r="J258" s="23"/>
      <c r="K258" s="209"/>
      <c r="N258" s="108" t="s">
        <v>344</v>
      </c>
      <c r="P258" s="108" t="s">
        <v>345</v>
      </c>
    </row>
    <row r="259" spans="1:32" ht="12.75" customHeight="1">
      <c r="A259" s="264" t="s">
        <v>291</v>
      </c>
      <c r="B259" s="204" t="s">
        <v>265</v>
      </c>
      <c r="C259" s="206" t="s">
        <v>61</v>
      </c>
      <c r="D259" s="342" t="s">
        <v>218</v>
      </c>
      <c r="E259" s="169">
        <v>2017</v>
      </c>
      <c r="F259" s="7">
        <f t="shared" ref="F259:F262" si="20">SUM(G259:I259)</f>
        <v>50179.899999999994</v>
      </c>
      <c r="G259" s="7"/>
      <c r="H259" s="7">
        <f>39366.1+2524.5-9876.8</f>
        <v>32013.8</v>
      </c>
      <c r="I259" s="7">
        <f>19299.3-1133.2</f>
        <v>18166.099999999999</v>
      </c>
      <c r="J259" s="14"/>
      <c r="K259" s="201" t="s">
        <v>273</v>
      </c>
      <c r="L259" s="113" t="s">
        <v>364</v>
      </c>
      <c r="M259" s="113" t="s">
        <v>363</v>
      </c>
      <c r="N259" s="29"/>
      <c r="O259" s="29"/>
      <c r="P259" s="113" t="s">
        <v>365</v>
      </c>
      <c r="Q259" s="29"/>
      <c r="R259" s="113" t="s">
        <v>348</v>
      </c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</row>
    <row r="260" spans="1:32" ht="12.75" customHeight="1">
      <c r="A260" s="264"/>
      <c r="B260" s="205"/>
      <c r="C260" s="206"/>
      <c r="D260" s="342"/>
      <c r="E260" s="169">
        <v>2018</v>
      </c>
      <c r="F260" s="7">
        <f t="shared" si="20"/>
        <v>59433.5</v>
      </c>
      <c r="G260" s="7"/>
      <c r="H260" s="7">
        <v>45376.800000000003</v>
      </c>
      <c r="I260" s="7">
        <v>14056.7</v>
      </c>
      <c r="J260" s="14"/>
      <c r="K260" s="208"/>
      <c r="L260" s="48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</row>
    <row r="261" spans="1:32" ht="12.75" customHeight="1">
      <c r="A261" s="264"/>
      <c r="B261" s="205"/>
      <c r="C261" s="206"/>
      <c r="D261" s="342"/>
      <c r="E261" s="169">
        <v>2019</v>
      </c>
      <c r="F261" s="7">
        <f t="shared" si="20"/>
        <v>56023.200000000004</v>
      </c>
      <c r="G261" s="7"/>
      <c r="H261" s="7">
        <v>45739.8</v>
      </c>
      <c r="I261" s="7">
        <v>10283.4</v>
      </c>
      <c r="J261" s="14"/>
      <c r="K261" s="208"/>
      <c r="L261" s="113"/>
      <c r="M261" s="113" t="s">
        <v>253</v>
      </c>
      <c r="N261" s="29"/>
      <c r="O261" s="29"/>
      <c r="P261" s="113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</row>
    <row r="262" spans="1:32" ht="12.75" customHeight="1">
      <c r="A262" s="264"/>
      <c r="B262" s="205"/>
      <c r="C262" s="206"/>
      <c r="D262" s="342"/>
      <c r="E262" s="169">
        <v>2020</v>
      </c>
      <c r="F262" s="7">
        <f t="shared" si="20"/>
        <v>65380.100000000006</v>
      </c>
      <c r="G262" s="7"/>
      <c r="H262" s="7">
        <v>46120.4</v>
      </c>
      <c r="I262" s="7">
        <v>19259.7</v>
      </c>
      <c r="J262" s="14"/>
      <c r="K262" s="208"/>
      <c r="L262" s="113"/>
      <c r="M262" s="113" t="s">
        <v>254</v>
      </c>
      <c r="N262" s="29"/>
      <c r="O262" s="29"/>
      <c r="P262" s="29"/>
      <c r="Q262" s="29"/>
      <c r="R262" s="133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</row>
    <row r="263" spans="1:32" ht="36" customHeight="1">
      <c r="A263" s="264"/>
      <c r="B263" s="205"/>
      <c r="C263" s="206"/>
      <c r="D263" s="342"/>
      <c r="E263" s="27" t="s">
        <v>18</v>
      </c>
      <c r="F263" s="9">
        <f>SUM(F259:F262)</f>
        <v>231016.7</v>
      </c>
      <c r="G263" s="9"/>
      <c r="H263" s="9">
        <f>SUM(H259:H262)</f>
        <v>169250.80000000002</v>
      </c>
      <c r="I263" s="9">
        <f>SUM(I259:I262)</f>
        <v>61765.899999999994</v>
      </c>
      <c r="J263" s="23"/>
      <c r="K263" s="209"/>
    </row>
    <row r="264" spans="1:32" ht="12.75" customHeight="1">
      <c r="A264" s="471" t="s">
        <v>309</v>
      </c>
      <c r="B264" s="241" t="s">
        <v>310</v>
      </c>
      <c r="C264" s="206" t="s">
        <v>313</v>
      </c>
      <c r="D264" s="342" t="s">
        <v>218</v>
      </c>
      <c r="E264" s="169">
        <v>2017</v>
      </c>
      <c r="F264" s="7">
        <f t="shared" ref="F264:F267" si="21">SUM(G264:I264)</f>
        <v>12698.3</v>
      </c>
      <c r="G264" s="7"/>
      <c r="H264" s="7"/>
      <c r="I264" s="7">
        <f>12064+626.3+8</f>
        <v>12698.3</v>
      </c>
      <c r="J264" s="14"/>
      <c r="K264" s="251" t="s">
        <v>397</v>
      </c>
      <c r="L264" s="113" t="s">
        <v>361</v>
      </c>
      <c r="M264" s="113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</row>
    <row r="265" spans="1:32" ht="12.75" customHeight="1">
      <c r="A265" s="471"/>
      <c r="B265" s="427"/>
      <c r="C265" s="206"/>
      <c r="D265" s="342"/>
      <c r="E265" s="169">
        <v>2018</v>
      </c>
      <c r="F265" s="7">
        <f t="shared" si="21"/>
        <v>8500</v>
      </c>
      <c r="G265" s="7"/>
      <c r="H265" s="7"/>
      <c r="I265" s="7">
        <v>8500</v>
      </c>
      <c r="J265" s="14"/>
      <c r="K265" s="389"/>
      <c r="L265" s="48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</row>
    <row r="266" spans="1:32" ht="12.75" customHeight="1">
      <c r="A266" s="471"/>
      <c r="B266" s="427"/>
      <c r="C266" s="206"/>
      <c r="D266" s="342"/>
      <c r="E266" s="169">
        <v>2019</v>
      </c>
      <c r="F266" s="7">
        <f t="shared" si="21"/>
        <v>3000</v>
      </c>
      <c r="G266" s="7"/>
      <c r="H266" s="7"/>
      <c r="I266" s="7">
        <v>3000</v>
      </c>
      <c r="J266" s="14"/>
      <c r="K266" s="389"/>
      <c r="L266" s="113"/>
      <c r="M266" s="113"/>
      <c r="N266" s="29"/>
      <c r="O266" s="29"/>
      <c r="P266" s="113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</row>
    <row r="267" spans="1:32" ht="12.75" customHeight="1">
      <c r="A267" s="471"/>
      <c r="B267" s="427"/>
      <c r="C267" s="206"/>
      <c r="D267" s="342"/>
      <c r="E267" s="169">
        <v>2020</v>
      </c>
      <c r="F267" s="7">
        <f t="shared" si="21"/>
        <v>2000</v>
      </c>
      <c r="G267" s="7"/>
      <c r="H267" s="7"/>
      <c r="I267" s="7">
        <v>2000</v>
      </c>
      <c r="J267" s="14"/>
      <c r="K267" s="389"/>
      <c r="L267" s="113"/>
      <c r="M267" s="113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</row>
    <row r="268" spans="1:32" ht="36" customHeight="1">
      <c r="A268" s="471"/>
      <c r="B268" s="427"/>
      <c r="C268" s="206"/>
      <c r="D268" s="342"/>
      <c r="E268" s="27" t="s">
        <v>18</v>
      </c>
      <c r="F268" s="9">
        <f>SUM(F264:F267)</f>
        <v>26198.3</v>
      </c>
      <c r="G268" s="9"/>
      <c r="H268" s="9"/>
      <c r="I268" s="9">
        <f>SUM(I264:I267)</f>
        <v>26198.3</v>
      </c>
      <c r="J268" s="23"/>
      <c r="K268" s="390"/>
    </row>
    <row r="269" spans="1:32" ht="12.75" customHeight="1">
      <c r="A269" s="471" t="s">
        <v>311</v>
      </c>
      <c r="B269" s="241" t="s">
        <v>312</v>
      </c>
      <c r="C269" s="206" t="s">
        <v>313</v>
      </c>
      <c r="D269" s="342" t="s">
        <v>218</v>
      </c>
      <c r="E269" s="169">
        <v>2017</v>
      </c>
      <c r="F269" s="7">
        <f t="shared" ref="F269:F272" si="22">SUM(G269:I269)</f>
        <v>7165.3</v>
      </c>
      <c r="G269" s="7"/>
      <c r="H269" s="7"/>
      <c r="I269" s="7">
        <v>7165.3</v>
      </c>
      <c r="J269" s="14"/>
      <c r="K269" s="251" t="s">
        <v>398</v>
      </c>
      <c r="L269" s="113" t="s">
        <v>381</v>
      </c>
      <c r="M269" s="113"/>
      <c r="N269" s="113" t="s">
        <v>362</v>
      </c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</row>
    <row r="270" spans="1:32" ht="12.75" customHeight="1">
      <c r="A270" s="471"/>
      <c r="B270" s="427"/>
      <c r="C270" s="206"/>
      <c r="D270" s="342"/>
      <c r="E270" s="169">
        <v>2018</v>
      </c>
      <c r="F270" s="7">
        <f t="shared" si="22"/>
        <v>5450</v>
      </c>
      <c r="G270" s="7"/>
      <c r="H270" s="7"/>
      <c r="I270" s="7">
        <v>5450</v>
      </c>
      <c r="J270" s="14"/>
      <c r="K270" s="252"/>
      <c r="L270" s="48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</row>
    <row r="271" spans="1:32" ht="12.75" customHeight="1">
      <c r="A271" s="471"/>
      <c r="B271" s="427"/>
      <c r="C271" s="206"/>
      <c r="D271" s="342"/>
      <c r="E271" s="169">
        <v>2019</v>
      </c>
      <c r="F271" s="7">
        <f t="shared" si="22"/>
        <v>0</v>
      </c>
      <c r="G271" s="7"/>
      <c r="H271" s="7"/>
      <c r="I271" s="7">
        <v>0</v>
      </c>
      <c r="J271" s="14"/>
      <c r="K271" s="252"/>
      <c r="L271" s="113"/>
      <c r="M271" s="113"/>
      <c r="N271" s="29"/>
      <c r="O271" s="29"/>
      <c r="P271" s="113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</row>
    <row r="272" spans="1:32" ht="12.75" customHeight="1">
      <c r="A272" s="471"/>
      <c r="B272" s="427"/>
      <c r="C272" s="206"/>
      <c r="D272" s="342"/>
      <c r="E272" s="169">
        <v>2020</v>
      </c>
      <c r="F272" s="7">
        <f t="shared" si="22"/>
        <v>0</v>
      </c>
      <c r="G272" s="7"/>
      <c r="H272" s="7"/>
      <c r="I272" s="7">
        <v>0</v>
      </c>
      <c r="J272" s="14"/>
      <c r="K272" s="252"/>
      <c r="L272" s="113"/>
      <c r="M272" s="113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</row>
    <row r="273" spans="1:36" ht="36" customHeight="1">
      <c r="A273" s="471"/>
      <c r="B273" s="427"/>
      <c r="C273" s="206"/>
      <c r="D273" s="342"/>
      <c r="E273" s="27" t="s">
        <v>18</v>
      </c>
      <c r="F273" s="9">
        <f>SUM(F269:F272)</f>
        <v>12615.3</v>
      </c>
      <c r="G273" s="9"/>
      <c r="H273" s="9"/>
      <c r="I273" s="9">
        <f>SUM(I269:I272)</f>
        <v>12615.3</v>
      </c>
      <c r="J273" s="23"/>
      <c r="K273" s="477"/>
    </row>
    <row r="274" spans="1:36" ht="16.5" customHeight="1">
      <c r="A274" s="473" t="s">
        <v>220</v>
      </c>
      <c r="B274" s="474"/>
      <c r="C274" s="474"/>
      <c r="D274" s="474"/>
      <c r="E274" s="27" t="s">
        <v>18</v>
      </c>
      <c r="F274" s="180">
        <f>F253+F239+F222+F209+F202+F245+F225+F227+F214+F258+F263+F268+F273+F231+F229</f>
        <v>769697.8</v>
      </c>
      <c r="G274" s="181"/>
      <c r="H274" s="180">
        <f>H202+H209+H214+H222+H225+H227+H229+H231+H239+H245+H253+H258+H263+H268+H273</f>
        <v>368363.4</v>
      </c>
      <c r="I274" s="180">
        <f>I202+I209+I214+I222+I225+I227+I229+I231+I239+I245+I253+I258+I263+I268+I273</f>
        <v>401334.39999999991</v>
      </c>
      <c r="J274" s="39"/>
      <c r="K274" s="38"/>
      <c r="L274" s="135"/>
      <c r="M274" s="136"/>
      <c r="N274" s="136"/>
      <c r="O274" s="108"/>
    </row>
    <row r="275" spans="1:36" ht="18.75" customHeight="1">
      <c r="A275" s="475" t="s">
        <v>62</v>
      </c>
      <c r="B275" s="475"/>
      <c r="C275" s="475"/>
      <c r="D275" s="475"/>
      <c r="E275" s="475"/>
      <c r="F275" s="475"/>
      <c r="G275" s="475"/>
      <c r="H275" s="475"/>
      <c r="I275" s="475"/>
      <c r="J275" s="475"/>
      <c r="K275" s="475"/>
    </row>
    <row r="276" spans="1:36" ht="31.5" customHeight="1">
      <c r="A276" s="476" t="s">
        <v>63</v>
      </c>
      <c r="B276" s="327"/>
      <c r="C276" s="327"/>
      <c r="D276" s="327"/>
      <c r="E276" s="327"/>
      <c r="F276" s="327"/>
      <c r="G276" s="327"/>
      <c r="H276" s="327"/>
      <c r="I276" s="327"/>
      <c r="J276" s="327"/>
      <c r="K276" s="327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  <c r="AC276" s="49"/>
      <c r="AD276" s="49"/>
      <c r="AE276" s="49"/>
      <c r="AF276" s="49"/>
      <c r="AG276" s="29"/>
      <c r="AH276" s="29"/>
      <c r="AI276" s="29"/>
      <c r="AJ276" s="29"/>
    </row>
    <row r="277" spans="1:36" ht="15">
      <c r="A277" s="264" t="s">
        <v>64</v>
      </c>
      <c r="B277" s="253" t="s">
        <v>237</v>
      </c>
      <c r="C277" s="232" t="s">
        <v>61</v>
      </c>
      <c r="D277" s="201" t="s">
        <v>218</v>
      </c>
      <c r="E277" s="169">
        <v>2015</v>
      </c>
      <c r="F277" s="7">
        <f t="shared" ref="F277:F282" si="23">SUM(G277:J277)</f>
        <v>471461.89999999997</v>
      </c>
      <c r="G277" s="7"/>
      <c r="H277" s="7">
        <f>457488.8+13973.1</f>
        <v>471461.89999999997</v>
      </c>
      <c r="I277" s="14"/>
      <c r="J277" s="14"/>
      <c r="K277" s="201" t="s">
        <v>266</v>
      </c>
    </row>
    <row r="278" spans="1:36" ht="15">
      <c r="A278" s="264"/>
      <c r="B278" s="254"/>
      <c r="C278" s="233"/>
      <c r="D278" s="208"/>
      <c r="E278" s="169">
        <v>2016</v>
      </c>
      <c r="F278" s="7">
        <f t="shared" si="23"/>
        <v>485636.2</v>
      </c>
      <c r="G278" s="7"/>
      <c r="H278" s="7">
        <f>503346-17709.8</f>
        <v>485636.2</v>
      </c>
      <c r="I278" s="14"/>
      <c r="J278" s="14"/>
      <c r="K278" s="208"/>
      <c r="L278" s="108"/>
    </row>
    <row r="279" spans="1:36" ht="15">
      <c r="A279" s="264"/>
      <c r="B279" s="254"/>
      <c r="C279" s="233"/>
      <c r="D279" s="208"/>
      <c r="E279" s="169">
        <v>2017</v>
      </c>
      <c r="F279" s="7">
        <f t="shared" si="23"/>
        <v>490057.5</v>
      </c>
      <c r="G279" s="7"/>
      <c r="H279" s="7">
        <f>478983.8+11073.7</f>
        <v>490057.5</v>
      </c>
      <c r="I279" s="14"/>
      <c r="J279" s="14"/>
      <c r="K279" s="208"/>
      <c r="L279" s="108"/>
      <c r="M279" s="115"/>
      <c r="N279" s="108" t="s">
        <v>359</v>
      </c>
      <c r="P279" s="108" t="s">
        <v>360</v>
      </c>
    </row>
    <row r="280" spans="1:36" ht="15">
      <c r="A280" s="264"/>
      <c r="B280" s="254"/>
      <c r="C280" s="233"/>
      <c r="D280" s="208"/>
      <c r="E280" s="169">
        <v>2018</v>
      </c>
      <c r="F280" s="7">
        <f t="shared" si="23"/>
        <v>507867.8</v>
      </c>
      <c r="G280" s="7"/>
      <c r="H280" s="7">
        <v>507867.8</v>
      </c>
      <c r="I280" s="14"/>
      <c r="J280" s="14"/>
      <c r="K280" s="208"/>
      <c r="L280" s="108"/>
      <c r="M280" s="115"/>
      <c r="N280" s="108" t="s">
        <v>256</v>
      </c>
    </row>
    <row r="281" spans="1:36" ht="15">
      <c r="A281" s="264"/>
      <c r="B281" s="254"/>
      <c r="C281" s="233"/>
      <c r="D281" s="208"/>
      <c r="E281" s="169">
        <v>2019</v>
      </c>
      <c r="F281" s="7">
        <f t="shared" si="23"/>
        <v>531740.69999999995</v>
      </c>
      <c r="G281" s="7"/>
      <c r="H281" s="7">
        <v>531740.69999999995</v>
      </c>
      <c r="I281" s="14"/>
      <c r="J281" s="14"/>
      <c r="K281" s="208"/>
      <c r="L281" s="108"/>
      <c r="M281" s="115"/>
      <c r="N281" s="108" t="s">
        <v>257</v>
      </c>
    </row>
    <row r="282" spans="1:36" ht="15">
      <c r="A282" s="264"/>
      <c r="B282" s="254"/>
      <c r="C282" s="233"/>
      <c r="D282" s="208"/>
      <c r="E282" s="169">
        <v>2020</v>
      </c>
      <c r="F282" s="7">
        <f t="shared" si="23"/>
        <v>557797.80000000005</v>
      </c>
      <c r="G282" s="7"/>
      <c r="H282" s="7">
        <v>557797.80000000005</v>
      </c>
      <c r="I282" s="14"/>
      <c r="J282" s="14"/>
      <c r="K282" s="208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</row>
    <row r="283" spans="1:36" ht="66" customHeight="1">
      <c r="A283" s="264"/>
      <c r="B283" s="255"/>
      <c r="C283" s="240"/>
      <c r="D283" s="208"/>
      <c r="E283" s="19" t="s">
        <v>18</v>
      </c>
      <c r="F283" s="8">
        <f>SUM(F277:F282)</f>
        <v>3044561.9000000004</v>
      </c>
      <c r="G283" s="8"/>
      <c r="H283" s="8">
        <f>SUM(H277:H282)</f>
        <v>3044561.9000000004</v>
      </c>
      <c r="I283" s="13"/>
      <c r="J283" s="13"/>
      <c r="K283" s="20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</row>
    <row r="284" spans="1:36" ht="15">
      <c r="A284" s="264" t="s">
        <v>292</v>
      </c>
      <c r="B284" s="253" t="s">
        <v>267</v>
      </c>
      <c r="C284" s="232" t="s">
        <v>61</v>
      </c>
      <c r="D284" s="201" t="s">
        <v>218</v>
      </c>
      <c r="E284" s="169">
        <v>2017</v>
      </c>
      <c r="F284" s="7">
        <f t="shared" ref="F284:F287" si="24">SUM(G284:J284)</f>
        <v>2812.9</v>
      </c>
      <c r="G284" s="7"/>
      <c r="H284" s="7">
        <f>3265.6-452.7</f>
        <v>2812.9</v>
      </c>
      <c r="I284" s="14"/>
      <c r="J284" s="14"/>
      <c r="K284" s="201" t="s">
        <v>275</v>
      </c>
      <c r="L284" s="108"/>
    </row>
    <row r="285" spans="1:36" ht="15">
      <c r="A285" s="264"/>
      <c r="B285" s="254"/>
      <c r="C285" s="233"/>
      <c r="D285" s="208"/>
      <c r="E285" s="169">
        <v>2018</v>
      </c>
      <c r="F285" s="7">
        <f t="shared" si="24"/>
        <v>3416</v>
      </c>
      <c r="G285" s="7"/>
      <c r="H285" s="7">
        <v>3416</v>
      </c>
      <c r="I285" s="14"/>
      <c r="J285" s="14"/>
      <c r="K285" s="208"/>
      <c r="L285" s="108"/>
    </row>
    <row r="286" spans="1:36" ht="15">
      <c r="A286" s="264"/>
      <c r="B286" s="254"/>
      <c r="C286" s="233"/>
      <c r="D286" s="208"/>
      <c r="E286" s="169">
        <v>2019</v>
      </c>
      <c r="F286" s="7">
        <f t="shared" si="24"/>
        <v>3552.6</v>
      </c>
      <c r="G286" s="7"/>
      <c r="H286" s="7">
        <v>3552.6</v>
      </c>
      <c r="I286" s="14"/>
      <c r="J286" s="14"/>
      <c r="K286" s="208"/>
      <c r="L286" s="108"/>
      <c r="M286" s="115"/>
      <c r="N286" s="108" t="s">
        <v>255</v>
      </c>
    </row>
    <row r="287" spans="1:36" ht="15">
      <c r="A287" s="264"/>
      <c r="B287" s="254"/>
      <c r="C287" s="233"/>
      <c r="D287" s="208"/>
      <c r="E287" s="169">
        <v>2020</v>
      </c>
      <c r="F287" s="7">
        <f t="shared" si="24"/>
        <v>3694.6</v>
      </c>
      <c r="G287" s="7"/>
      <c r="H287" s="7">
        <v>3694.6</v>
      </c>
      <c r="I287" s="14"/>
      <c r="J287" s="14"/>
      <c r="K287" s="208"/>
      <c r="L287" s="108"/>
      <c r="M287" s="115"/>
      <c r="N287" s="108" t="s">
        <v>256</v>
      </c>
    </row>
    <row r="288" spans="1:36" ht="86.25" customHeight="1">
      <c r="A288" s="264"/>
      <c r="B288" s="255"/>
      <c r="C288" s="240"/>
      <c r="D288" s="208"/>
      <c r="E288" s="19" t="s">
        <v>18</v>
      </c>
      <c r="F288" s="8">
        <f>SUM(F284:F287)</f>
        <v>13476.1</v>
      </c>
      <c r="G288" s="8"/>
      <c r="H288" s="8">
        <f>SUM(H284:H287)</f>
        <v>13476.1</v>
      </c>
      <c r="I288" s="13"/>
      <c r="J288" s="13"/>
      <c r="K288" s="20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29"/>
    </row>
    <row r="289" spans="1:32">
      <c r="A289" s="332" t="s">
        <v>65</v>
      </c>
      <c r="B289" s="470"/>
      <c r="C289" s="470"/>
      <c r="D289" s="470"/>
      <c r="E289" s="470"/>
      <c r="F289" s="470"/>
      <c r="G289" s="470"/>
      <c r="H289" s="470"/>
      <c r="I289" s="470"/>
      <c r="J289" s="470"/>
      <c r="K289" s="47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</row>
    <row r="290" spans="1:32" ht="15">
      <c r="A290" s="256" t="s">
        <v>293</v>
      </c>
      <c r="B290" s="259" t="s">
        <v>215</v>
      </c>
      <c r="C290" s="232" t="s">
        <v>61</v>
      </c>
      <c r="D290" s="201" t="s">
        <v>218</v>
      </c>
      <c r="E290" s="165">
        <v>2015</v>
      </c>
      <c r="F290" s="176">
        <f t="shared" ref="F290:F295" si="25">SUM(H290:I290)</f>
        <v>23806.500000000004</v>
      </c>
      <c r="G290" s="176"/>
      <c r="H290" s="176">
        <f>25365.4-1504.8-54.1</f>
        <v>23806.500000000004</v>
      </c>
      <c r="I290" s="12"/>
      <c r="J290" s="12"/>
      <c r="K290" s="201" t="s">
        <v>148</v>
      </c>
    </row>
    <row r="291" spans="1:32" ht="15">
      <c r="A291" s="257"/>
      <c r="B291" s="260"/>
      <c r="C291" s="233"/>
      <c r="D291" s="208"/>
      <c r="E291" s="169">
        <v>2016</v>
      </c>
      <c r="F291" s="7">
        <f t="shared" si="25"/>
        <v>12245.599999999999</v>
      </c>
      <c r="G291" s="7"/>
      <c r="H291" s="7">
        <f>12116.8-44.2+173</f>
        <v>12245.599999999999</v>
      </c>
      <c r="I291" s="14"/>
      <c r="J291" s="14"/>
      <c r="K291" s="208"/>
    </row>
    <row r="292" spans="1:32" ht="15">
      <c r="A292" s="257"/>
      <c r="B292" s="260"/>
      <c r="C292" s="233"/>
      <c r="D292" s="208"/>
      <c r="E292" s="169">
        <v>2017</v>
      </c>
      <c r="F292" s="7">
        <f t="shared" si="25"/>
        <v>12314.3</v>
      </c>
      <c r="G292" s="7"/>
      <c r="H292" s="7">
        <f>12346-31.7</f>
        <v>12314.3</v>
      </c>
      <c r="I292" s="14"/>
      <c r="J292" s="14"/>
      <c r="K292" s="208"/>
      <c r="L292" s="108"/>
      <c r="N292" s="108" t="s">
        <v>258</v>
      </c>
    </row>
    <row r="293" spans="1:32" ht="15">
      <c r="A293" s="257"/>
      <c r="B293" s="260"/>
      <c r="C293" s="233"/>
      <c r="D293" s="208"/>
      <c r="E293" s="169">
        <v>2018</v>
      </c>
      <c r="F293" s="7">
        <f t="shared" si="25"/>
        <v>12692.3</v>
      </c>
      <c r="G293" s="7"/>
      <c r="H293" s="7">
        <v>12692.3</v>
      </c>
      <c r="I293" s="14"/>
      <c r="J293" s="14"/>
      <c r="K293" s="208"/>
      <c r="N293" s="4" t="s">
        <v>250</v>
      </c>
    </row>
    <row r="294" spans="1:32" ht="15">
      <c r="A294" s="257"/>
      <c r="B294" s="260"/>
      <c r="C294" s="233"/>
      <c r="D294" s="208"/>
      <c r="E294" s="169">
        <v>2019</v>
      </c>
      <c r="F294" s="7">
        <f t="shared" si="25"/>
        <v>13273.6</v>
      </c>
      <c r="G294" s="7"/>
      <c r="H294" s="7">
        <v>13273.6</v>
      </c>
      <c r="I294" s="14"/>
      <c r="J294" s="14"/>
      <c r="K294" s="208"/>
      <c r="N294" s="4" t="s">
        <v>250</v>
      </c>
    </row>
    <row r="295" spans="1:32" ht="15">
      <c r="A295" s="257"/>
      <c r="B295" s="260"/>
      <c r="C295" s="233"/>
      <c r="D295" s="208"/>
      <c r="E295" s="169">
        <v>2020</v>
      </c>
      <c r="F295" s="7">
        <f t="shared" si="25"/>
        <v>13914.5</v>
      </c>
      <c r="G295" s="7"/>
      <c r="H295" s="7">
        <v>13914.5</v>
      </c>
      <c r="I295" s="14"/>
      <c r="J295" s="14"/>
      <c r="K295" s="208"/>
    </row>
    <row r="296" spans="1:32" ht="15" thickBot="1">
      <c r="A296" s="258"/>
      <c r="B296" s="261"/>
      <c r="C296" s="240"/>
      <c r="D296" s="208"/>
      <c r="E296" s="19" t="s">
        <v>18</v>
      </c>
      <c r="F296" s="8">
        <f>SUM(F290:F295)</f>
        <v>88246.800000000017</v>
      </c>
      <c r="G296" s="8"/>
      <c r="H296" s="8">
        <f>SUM(H290:H295)</f>
        <v>88246.800000000017</v>
      </c>
      <c r="I296" s="13"/>
      <c r="J296" s="13"/>
      <c r="K296" s="209"/>
    </row>
    <row r="297" spans="1:32" ht="15">
      <c r="A297" s="256" t="s">
        <v>72</v>
      </c>
      <c r="B297" s="259" t="s">
        <v>268</v>
      </c>
      <c r="C297" s="232" t="s">
        <v>61</v>
      </c>
      <c r="D297" s="201" t="s">
        <v>218</v>
      </c>
      <c r="E297" s="165">
        <v>2017</v>
      </c>
      <c r="F297" s="176">
        <f t="shared" ref="F297:F300" si="26">SUM(H297:I297)</f>
        <v>102.2</v>
      </c>
      <c r="G297" s="176"/>
      <c r="H297" s="176">
        <v>102.2</v>
      </c>
      <c r="I297" s="12"/>
      <c r="J297" s="12"/>
      <c r="K297" s="201" t="s">
        <v>148</v>
      </c>
      <c r="L297" s="108"/>
    </row>
    <row r="298" spans="1:32" ht="15">
      <c r="A298" s="257"/>
      <c r="B298" s="260"/>
      <c r="C298" s="233"/>
      <c r="D298" s="208"/>
      <c r="E298" s="169">
        <v>2018</v>
      </c>
      <c r="F298" s="7">
        <f t="shared" si="26"/>
        <v>129.5</v>
      </c>
      <c r="G298" s="7"/>
      <c r="H298" s="7">
        <v>129.5</v>
      </c>
      <c r="I298" s="14"/>
      <c r="J298" s="14"/>
      <c r="K298" s="208"/>
    </row>
    <row r="299" spans="1:32" ht="15">
      <c r="A299" s="257"/>
      <c r="B299" s="260"/>
      <c r="C299" s="233"/>
      <c r="D299" s="208"/>
      <c r="E299" s="169">
        <v>2019</v>
      </c>
      <c r="F299" s="7">
        <f t="shared" si="26"/>
        <v>129.5</v>
      </c>
      <c r="G299" s="7"/>
      <c r="H299" s="7">
        <v>129.5</v>
      </c>
      <c r="I299" s="14"/>
      <c r="J299" s="14"/>
      <c r="K299" s="208"/>
      <c r="L299" s="108"/>
      <c r="N299" s="108" t="s">
        <v>258</v>
      </c>
    </row>
    <row r="300" spans="1:32" ht="15">
      <c r="A300" s="257"/>
      <c r="B300" s="260"/>
      <c r="C300" s="233"/>
      <c r="D300" s="208"/>
      <c r="E300" s="169">
        <v>2020</v>
      </c>
      <c r="F300" s="7">
        <f t="shared" si="26"/>
        <v>129.5</v>
      </c>
      <c r="G300" s="7"/>
      <c r="H300" s="7">
        <v>129.5</v>
      </c>
      <c r="I300" s="14"/>
      <c r="J300" s="14"/>
      <c r="K300" s="208"/>
      <c r="N300" s="4" t="s">
        <v>250</v>
      </c>
    </row>
    <row r="301" spans="1:32" ht="48" customHeight="1" thickBot="1">
      <c r="A301" s="258"/>
      <c r="B301" s="261"/>
      <c r="C301" s="240"/>
      <c r="D301" s="208"/>
      <c r="E301" s="19" t="s">
        <v>18</v>
      </c>
      <c r="F301" s="8">
        <f>SUM(F297:F300)</f>
        <v>490.7</v>
      </c>
      <c r="G301" s="8"/>
      <c r="H301" s="8">
        <f>SUM(H297:H300)</f>
        <v>490.7</v>
      </c>
      <c r="I301" s="13"/>
      <c r="J301" s="13"/>
      <c r="K301" s="209"/>
    </row>
    <row r="302" spans="1:32">
      <c r="A302" s="257" t="s">
        <v>124</v>
      </c>
      <c r="B302" s="262" t="s">
        <v>149</v>
      </c>
      <c r="C302" s="232" t="s">
        <v>61</v>
      </c>
      <c r="D302" s="201" t="s">
        <v>218</v>
      </c>
      <c r="E302" s="169">
        <v>2015</v>
      </c>
      <c r="F302" s="14"/>
      <c r="G302" s="14"/>
      <c r="H302" s="14"/>
      <c r="I302" s="14"/>
      <c r="J302" s="14"/>
      <c r="K302" s="201" t="s">
        <v>150</v>
      </c>
    </row>
    <row r="303" spans="1:32">
      <c r="A303" s="257"/>
      <c r="B303" s="260"/>
      <c r="C303" s="233"/>
      <c r="D303" s="208"/>
      <c r="E303" s="169">
        <v>2016</v>
      </c>
      <c r="F303" s="14"/>
      <c r="G303" s="14"/>
      <c r="H303" s="14"/>
      <c r="I303" s="14"/>
      <c r="J303" s="14"/>
      <c r="K303" s="208"/>
    </row>
    <row r="304" spans="1:32">
      <c r="A304" s="257"/>
      <c r="B304" s="260"/>
      <c r="C304" s="233"/>
      <c r="D304" s="208"/>
      <c r="E304" s="169">
        <v>2017</v>
      </c>
      <c r="F304" s="14"/>
      <c r="G304" s="14"/>
      <c r="H304" s="14"/>
      <c r="I304" s="14"/>
      <c r="J304" s="14"/>
      <c r="K304" s="208"/>
    </row>
    <row r="305" spans="1:32">
      <c r="A305" s="257"/>
      <c r="B305" s="260"/>
      <c r="C305" s="233"/>
      <c r="D305" s="208"/>
      <c r="E305" s="169">
        <v>2018</v>
      </c>
      <c r="F305" s="14"/>
      <c r="G305" s="14"/>
      <c r="H305" s="14"/>
      <c r="I305" s="14"/>
      <c r="J305" s="14"/>
      <c r="K305" s="208"/>
    </row>
    <row r="306" spans="1:32">
      <c r="A306" s="257"/>
      <c r="B306" s="260"/>
      <c r="C306" s="233"/>
      <c r="D306" s="208"/>
      <c r="E306" s="169">
        <v>2019</v>
      </c>
      <c r="F306" s="14"/>
      <c r="G306" s="14"/>
      <c r="H306" s="14"/>
      <c r="I306" s="14"/>
      <c r="J306" s="14"/>
      <c r="K306" s="208"/>
    </row>
    <row r="307" spans="1:32">
      <c r="A307" s="257"/>
      <c r="B307" s="260"/>
      <c r="C307" s="233"/>
      <c r="D307" s="208"/>
      <c r="E307" s="169">
        <v>2020</v>
      </c>
      <c r="F307" s="14"/>
      <c r="G307" s="14"/>
      <c r="H307" s="14"/>
      <c r="I307" s="14"/>
      <c r="J307" s="14"/>
      <c r="K307" s="208"/>
    </row>
    <row r="308" spans="1:32" ht="13.5" thickBot="1">
      <c r="A308" s="258"/>
      <c r="B308" s="260"/>
      <c r="C308" s="233"/>
      <c r="D308" s="208"/>
      <c r="E308" s="27" t="s">
        <v>18</v>
      </c>
      <c r="F308" s="23"/>
      <c r="G308" s="23"/>
      <c r="H308" s="23"/>
      <c r="I308" s="23"/>
      <c r="J308" s="23"/>
      <c r="K308" s="208"/>
    </row>
    <row r="309" spans="1:32" ht="15.75" thickBot="1">
      <c r="A309" s="268" t="s">
        <v>207</v>
      </c>
      <c r="B309" s="269"/>
      <c r="C309" s="269"/>
      <c r="D309" s="269"/>
      <c r="E309" s="105"/>
      <c r="F309" s="182">
        <f>F283+F296+F301+F288</f>
        <v>3146775.5000000005</v>
      </c>
      <c r="G309" s="182"/>
      <c r="H309" s="182">
        <f>H283+H296+H301+H288+H308</f>
        <v>3146775.5000000005</v>
      </c>
      <c r="I309" s="183">
        <f>I283+I296+I301+I288+I308</f>
        <v>0</v>
      </c>
      <c r="J309" s="106"/>
      <c r="K309" s="107"/>
      <c r="L309" s="135"/>
      <c r="M309" s="136"/>
    </row>
    <row r="310" spans="1:32" ht="16.5" customHeight="1" thickBot="1">
      <c r="A310" s="308" t="s">
        <v>189</v>
      </c>
      <c r="B310" s="309"/>
      <c r="C310" s="309"/>
      <c r="D310" s="309"/>
      <c r="E310" s="309"/>
      <c r="F310" s="309"/>
      <c r="G310" s="309"/>
      <c r="H310" s="309"/>
      <c r="I310" s="309"/>
      <c r="J310" s="309"/>
      <c r="K310" s="309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6"/>
    </row>
    <row r="311" spans="1:32" ht="135" customHeight="1" thickBot="1">
      <c r="A311" s="270" t="s">
        <v>66</v>
      </c>
      <c r="B311" s="271"/>
      <c r="C311" s="271"/>
      <c r="D311" s="271"/>
      <c r="E311" s="271"/>
      <c r="F311" s="271"/>
      <c r="G311" s="271"/>
      <c r="H311" s="271"/>
      <c r="I311" s="271"/>
      <c r="J311" s="271"/>
      <c r="K311" s="272"/>
    </row>
    <row r="312" spans="1:32" ht="15">
      <c r="A312" s="257" t="s">
        <v>93</v>
      </c>
      <c r="B312" s="262" t="s">
        <v>238</v>
      </c>
      <c r="C312" s="232" t="s">
        <v>61</v>
      </c>
      <c r="D312" s="201" t="s">
        <v>218</v>
      </c>
      <c r="E312" s="169">
        <v>2015</v>
      </c>
      <c r="F312" s="7">
        <f t="shared" ref="F312:F317" si="27">SUM(G312:H312)</f>
        <v>29177</v>
      </c>
      <c r="G312" s="7"/>
      <c r="H312" s="7">
        <f>25777+3400</f>
        <v>29177</v>
      </c>
      <c r="I312" s="14"/>
      <c r="J312" s="14"/>
      <c r="K312" s="201" t="s">
        <v>151</v>
      </c>
    </row>
    <row r="313" spans="1:32" ht="15">
      <c r="A313" s="257"/>
      <c r="B313" s="263"/>
      <c r="C313" s="233"/>
      <c r="D313" s="208"/>
      <c r="E313" s="169">
        <v>2016</v>
      </c>
      <c r="F313" s="7">
        <f t="shared" si="27"/>
        <v>31021</v>
      </c>
      <c r="G313" s="7"/>
      <c r="H313" s="7">
        <f>32323-1302</f>
        <v>31021</v>
      </c>
      <c r="I313" s="14"/>
      <c r="J313" s="14"/>
      <c r="K313" s="208"/>
      <c r="L313" s="108"/>
    </row>
    <row r="314" spans="1:32" ht="15">
      <c r="A314" s="257"/>
      <c r="B314" s="263"/>
      <c r="C314" s="233"/>
      <c r="D314" s="208"/>
      <c r="E314" s="169">
        <v>2017</v>
      </c>
      <c r="F314" s="7">
        <f t="shared" si="27"/>
        <v>29945.1</v>
      </c>
      <c r="G314" s="7"/>
      <c r="H314" s="7">
        <f>31493.1-1548</f>
        <v>29945.1</v>
      </c>
      <c r="I314" s="14"/>
      <c r="J314" s="14"/>
      <c r="K314" s="208"/>
      <c r="L314" s="108"/>
    </row>
    <row r="315" spans="1:32" ht="15">
      <c r="A315" s="257"/>
      <c r="B315" s="263"/>
      <c r="C315" s="233"/>
      <c r="D315" s="208"/>
      <c r="E315" s="169">
        <v>2018</v>
      </c>
      <c r="F315" s="7">
        <f t="shared" si="27"/>
        <v>32700</v>
      </c>
      <c r="G315" s="7"/>
      <c r="H315" s="7">
        <v>32700</v>
      </c>
      <c r="I315" s="14"/>
      <c r="J315" s="14"/>
      <c r="K315" s="208"/>
      <c r="L315" s="108" t="s">
        <v>372</v>
      </c>
      <c r="M315" s="108" t="s">
        <v>373</v>
      </c>
      <c r="N315" s="115"/>
    </row>
    <row r="316" spans="1:32" ht="15">
      <c r="A316" s="257"/>
      <c r="B316" s="263"/>
      <c r="C316" s="233"/>
      <c r="D316" s="208"/>
      <c r="E316" s="169">
        <v>2019</v>
      </c>
      <c r="F316" s="7">
        <f t="shared" si="27"/>
        <v>34351.800000000003</v>
      </c>
      <c r="G316" s="7"/>
      <c r="H316" s="7">
        <v>34351.800000000003</v>
      </c>
      <c r="I316" s="14"/>
      <c r="J316" s="14"/>
      <c r="K316" s="208"/>
      <c r="N316" s="115"/>
    </row>
    <row r="317" spans="1:32" ht="15">
      <c r="A317" s="257"/>
      <c r="B317" s="263"/>
      <c r="C317" s="233"/>
      <c r="D317" s="208"/>
      <c r="E317" s="169">
        <v>2020</v>
      </c>
      <c r="F317" s="7">
        <f t="shared" si="27"/>
        <v>36138.699999999997</v>
      </c>
      <c r="G317" s="7"/>
      <c r="H317" s="7">
        <v>36138.699999999997</v>
      </c>
      <c r="I317" s="14"/>
      <c r="J317" s="14"/>
      <c r="K317" s="208"/>
      <c r="N317" s="29"/>
    </row>
    <row r="318" spans="1:32" ht="42.75" customHeight="1">
      <c r="A318" s="258"/>
      <c r="B318" s="263"/>
      <c r="C318" s="240"/>
      <c r="D318" s="208"/>
      <c r="E318" s="19" t="s">
        <v>18</v>
      </c>
      <c r="F318" s="8">
        <f>SUM(F312:F317)</f>
        <v>193333.60000000003</v>
      </c>
      <c r="G318" s="8"/>
      <c r="H318" s="8">
        <f>SUM(H312:H317)</f>
        <v>193333.60000000003</v>
      </c>
      <c r="I318" s="13"/>
      <c r="J318" s="13"/>
      <c r="K318" s="209"/>
    </row>
    <row r="319" spans="1:32" ht="15">
      <c r="A319" s="264" t="s">
        <v>67</v>
      </c>
      <c r="B319" s="265" t="s">
        <v>132</v>
      </c>
      <c r="C319" s="232" t="s">
        <v>68</v>
      </c>
      <c r="D319" s="201" t="s">
        <v>218</v>
      </c>
      <c r="E319" s="169">
        <v>2015</v>
      </c>
      <c r="F319" s="7">
        <f t="shared" ref="F319:F324" si="28">SUM(G319:I319)</f>
        <v>470.20000000000005</v>
      </c>
      <c r="G319" s="7"/>
      <c r="H319" s="7">
        <f>416.1+54.1</f>
        <v>470.20000000000005</v>
      </c>
      <c r="I319" s="7"/>
      <c r="J319" s="14"/>
      <c r="K319" s="303" t="s">
        <v>151</v>
      </c>
    </row>
    <row r="320" spans="1:32" ht="15">
      <c r="A320" s="264"/>
      <c r="B320" s="266"/>
      <c r="C320" s="202"/>
      <c r="D320" s="208"/>
      <c r="E320" s="169">
        <v>2016</v>
      </c>
      <c r="F320" s="7">
        <f t="shared" si="28"/>
        <v>305.39999999999998</v>
      </c>
      <c r="G320" s="7"/>
      <c r="H320" s="7">
        <f>261.2+44.2</f>
        <v>305.39999999999998</v>
      </c>
      <c r="I320" s="7"/>
      <c r="J320" s="14"/>
      <c r="K320" s="304"/>
    </row>
    <row r="321" spans="1:22" ht="15">
      <c r="A321" s="264"/>
      <c r="B321" s="266"/>
      <c r="C321" s="202"/>
      <c r="D321" s="208"/>
      <c r="E321" s="169">
        <v>2017</v>
      </c>
      <c r="F321" s="7">
        <f t="shared" si="28"/>
        <v>454</v>
      </c>
      <c r="G321" s="7"/>
      <c r="H321" s="7">
        <v>454</v>
      </c>
      <c r="I321" s="7"/>
      <c r="J321" s="14"/>
      <c r="K321" s="304"/>
      <c r="L321" s="108"/>
      <c r="M321" s="116"/>
    </row>
    <row r="322" spans="1:22" ht="15">
      <c r="A322" s="264"/>
      <c r="B322" s="266"/>
      <c r="C322" s="202"/>
      <c r="D322" s="208"/>
      <c r="E322" s="169">
        <v>2018</v>
      </c>
      <c r="F322" s="7">
        <f t="shared" si="28"/>
        <v>494</v>
      </c>
      <c r="G322" s="7"/>
      <c r="H322" s="7">
        <v>494</v>
      </c>
      <c r="I322" s="7"/>
      <c r="J322" s="14"/>
      <c r="K322" s="304"/>
      <c r="N322" s="115"/>
    </row>
    <row r="323" spans="1:22" ht="15">
      <c r="A323" s="264"/>
      <c r="B323" s="266"/>
      <c r="C323" s="202"/>
      <c r="D323" s="208"/>
      <c r="E323" s="169">
        <v>2019</v>
      </c>
      <c r="F323" s="7">
        <f t="shared" ref="F323" si="29">SUM(G323:I323)</f>
        <v>494</v>
      </c>
      <c r="G323" s="7"/>
      <c r="H323" s="7">
        <v>494</v>
      </c>
      <c r="I323" s="7"/>
      <c r="J323" s="14"/>
      <c r="K323" s="304"/>
      <c r="N323" s="115"/>
    </row>
    <row r="324" spans="1:22" ht="15">
      <c r="A324" s="264"/>
      <c r="B324" s="266"/>
      <c r="C324" s="202"/>
      <c r="D324" s="208"/>
      <c r="E324" s="169">
        <v>2020</v>
      </c>
      <c r="F324" s="7">
        <f t="shared" si="28"/>
        <v>494</v>
      </c>
      <c r="G324" s="7"/>
      <c r="H324" s="7">
        <v>494</v>
      </c>
      <c r="I324" s="7"/>
      <c r="J324" s="14"/>
      <c r="K324" s="304"/>
    </row>
    <row r="325" spans="1:22" ht="15">
      <c r="A325" s="264"/>
      <c r="B325" s="267"/>
      <c r="C325" s="203"/>
      <c r="D325" s="208"/>
      <c r="E325" s="19" t="s">
        <v>18</v>
      </c>
      <c r="F325" s="8">
        <f>SUM(F319:F324)</f>
        <v>2711.6</v>
      </c>
      <c r="G325" s="8"/>
      <c r="H325" s="8">
        <f>SUM(H319:H324)</f>
        <v>2711.6</v>
      </c>
      <c r="I325" s="7"/>
      <c r="J325" s="14"/>
      <c r="K325" s="305"/>
    </row>
    <row r="326" spans="1:22" ht="15">
      <c r="A326" s="264" t="s">
        <v>294</v>
      </c>
      <c r="B326" s="265" t="s">
        <v>130</v>
      </c>
      <c r="C326" s="232" t="s">
        <v>68</v>
      </c>
      <c r="D326" s="201" t="s">
        <v>218</v>
      </c>
      <c r="E326" s="169">
        <v>2015</v>
      </c>
      <c r="F326" s="7">
        <f t="shared" ref="F326:F331" si="30">SUM(G326:J326)</f>
        <v>5042</v>
      </c>
      <c r="G326" s="7"/>
      <c r="H326" s="7">
        <v>4991.6000000000004</v>
      </c>
      <c r="I326" s="7">
        <v>50.4</v>
      </c>
      <c r="J326" s="14"/>
      <c r="K326" s="201" t="s">
        <v>151</v>
      </c>
    </row>
    <row r="327" spans="1:22" ht="15">
      <c r="A327" s="264"/>
      <c r="B327" s="266"/>
      <c r="C327" s="202"/>
      <c r="D327" s="208"/>
      <c r="E327" s="169">
        <v>2016</v>
      </c>
      <c r="F327" s="7">
        <f t="shared" si="30"/>
        <v>0</v>
      </c>
      <c r="G327" s="7"/>
      <c r="H327" s="7"/>
      <c r="I327" s="7"/>
      <c r="J327" s="14"/>
      <c r="K327" s="208"/>
    </row>
    <row r="328" spans="1:22" ht="15">
      <c r="A328" s="264"/>
      <c r="B328" s="266"/>
      <c r="C328" s="202"/>
      <c r="D328" s="208"/>
      <c r="E328" s="169">
        <v>2017</v>
      </c>
      <c r="F328" s="7">
        <f t="shared" si="30"/>
        <v>0</v>
      </c>
      <c r="G328" s="7"/>
      <c r="H328" s="7"/>
      <c r="I328" s="7"/>
      <c r="J328" s="14"/>
      <c r="K328" s="208"/>
      <c r="L328" s="108"/>
    </row>
    <row r="329" spans="1:22" ht="15">
      <c r="A329" s="264"/>
      <c r="B329" s="266"/>
      <c r="C329" s="202"/>
      <c r="D329" s="208"/>
      <c r="E329" s="169">
        <v>2018</v>
      </c>
      <c r="F329" s="7">
        <f t="shared" si="30"/>
        <v>0</v>
      </c>
      <c r="G329" s="7"/>
      <c r="H329" s="7"/>
      <c r="I329" s="7"/>
      <c r="J329" s="14"/>
      <c r="K329" s="208"/>
      <c r="L329" s="108"/>
    </row>
    <row r="330" spans="1:22" ht="15">
      <c r="A330" s="264"/>
      <c r="B330" s="266"/>
      <c r="C330" s="202"/>
      <c r="D330" s="208"/>
      <c r="E330" s="169">
        <v>2019</v>
      </c>
      <c r="F330" s="7">
        <f t="shared" si="30"/>
        <v>0</v>
      </c>
      <c r="G330" s="7"/>
      <c r="H330" s="7"/>
      <c r="I330" s="7"/>
      <c r="J330" s="14"/>
      <c r="K330" s="208"/>
    </row>
    <row r="331" spans="1:22" ht="15">
      <c r="A331" s="264"/>
      <c r="B331" s="266"/>
      <c r="C331" s="202"/>
      <c r="D331" s="208"/>
      <c r="E331" s="169">
        <v>2020</v>
      </c>
      <c r="F331" s="7">
        <f t="shared" si="30"/>
        <v>0</v>
      </c>
      <c r="G331" s="7"/>
      <c r="H331" s="7"/>
      <c r="I331" s="7"/>
      <c r="J331" s="14"/>
      <c r="K331" s="208"/>
    </row>
    <row r="332" spans="1:22" ht="45" customHeight="1">
      <c r="A332" s="264"/>
      <c r="B332" s="266"/>
      <c r="C332" s="203"/>
      <c r="D332" s="208"/>
      <c r="E332" s="19" t="s">
        <v>18</v>
      </c>
      <c r="F332" s="9">
        <f>SUM(F326:F331)</f>
        <v>5042</v>
      </c>
      <c r="G332" s="9"/>
      <c r="H332" s="9">
        <f>SUM(H326:H331)</f>
        <v>4991.6000000000004</v>
      </c>
      <c r="I332" s="9">
        <f>SUM(I326:I331)</f>
        <v>50.4</v>
      </c>
      <c r="J332" s="46"/>
      <c r="K332" s="209"/>
    </row>
    <row r="333" spans="1:22" ht="12.75" customHeight="1">
      <c r="A333" s="256" t="s">
        <v>133</v>
      </c>
      <c r="B333" s="204" t="s">
        <v>316</v>
      </c>
      <c r="C333" s="232" t="s">
        <v>68</v>
      </c>
      <c r="D333" s="201" t="s">
        <v>218</v>
      </c>
      <c r="E333" s="169">
        <v>2015</v>
      </c>
      <c r="F333" s="7">
        <f t="shared" ref="F333:F338" si="31">SUM(G333:J333)</f>
        <v>0</v>
      </c>
      <c r="G333" s="7"/>
      <c r="H333" s="7"/>
      <c r="I333" s="7">
        <v>0</v>
      </c>
      <c r="J333" s="14"/>
      <c r="K333" s="201" t="s">
        <v>152</v>
      </c>
    </row>
    <row r="334" spans="1:22" ht="12.75" customHeight="1">
      <c r="A334" s="257"/>
      <c r="B334" s="205"/>
      <c r="C334" s="202"/>
      <c r="D334" s="208"/>
      <c r="E334" s="169">
        <v>2016</v>
      </c>
      <c r="F334" s="7">
        <f t="shared" si="31"/>
        <v>2152.1</v>
      </c>
      <c r="G334" s="7"/>
      <c r="H334" s="7"/>
      <c r="I334" s="7">
        <f>2194.1-42</f>
        <v>2152.1</v>
      </c>
      <c r="J334" s="14"/>
      <c r="K334" s="208"/>
      <c r="L334" s="108"/>
    </row>
    <row r="335" spans="1:22" ht="12.75" customHeight="1">
      <c r="A335" s="257"/>
      <c r="B335" s="205"/>
      <c r="C335" s="202"/>
      <c r="D335" s="208"/>
      <c r="E335" s="169">
        <v>2017</v>
      </c>
      <c r="F335" s="7">
        <f t="shared" si="31"/>
        <v>6504.1</v>
      </c>
      <c r="G335" s="7"/>
      <c r="H335" s="7"/>
      <c r="I335" s="7">
        <f>1996.4+4505.7+2</f>
        <v>6504.1</v>
      </c>
      <c r="J335" s="14"/>
      <c r="K335" s="208"/>
      <c r="L335" s="108" t="s">
        <v>375</v>
      </c>
      <c r="M335" s="134" t="s">
        <v>356</v>
      </c>
      <c r="N335" s="118"/>
      <c r="O335" s="130">
        <v>2589.1999999999998</v>
      </c>
      <c r="P335" s="118"/>
      <c r="Q335" s="130" t="s">
        <v>357</v>
      </c>
      <c r="R335" s="118"/>
      <c r="S335" s="118"/>
      <c r="T335" s="121">
        <v>1596.5</v>
      </c>
      <c r="U335" s="130" t="s">
        <v>358</v>
      </c>
      <c r="V335" s="121"/>
    </row>
    <row r="336" spans="1:22" ht="12.75" customHeight="1">
      <c r="A336" s="257"/>
      <c r="B336" s="205"/>
      <c r="C336" s="202"/>
      <c r="D336" s="208"/>
      <c r="E336" s="169">
        <v>2018</v>
      </c>
      <c r="F336" s="7">
        <f t="shared" si="31"/>
        <v>6089.2</v>
      </c>
      <c r="G336" s="7"/>
      <c r="H336" s="7"/>
      <c r="I336" s="7">
        <v>6089.2</v>
      </c>
      <c r="J336" s="14"/>
      <c r="K336" s="208"/>
      <c r="L336" s="108"/>
    </row>
    <row r="337" spans="1:16" ht="12.75" customHeight="1">
      <c r="A337" s="257"/>
      <c r="B337" s="205"/>
      <c r="C337" s="202"/>
      <c r="D337" s="208"/>
      <c r="E337" s="169">
        <v>2019</v>
      </c>
      <c r="F337" s="7">
        <f t="shared" si="31"/>
        <v>2640.7</v>
      </c>
      <c r="G337" s="7"/>
      <c r="H337" s="7"/>
      <c r="I337" s="7">
        <v>2640.7</v>
      </c>
      <c r="J337" s="14"/>
      <c r="K337" s="208"/>
    </row>
    <row r="338" spans="1:16" ht="12.75" customHeight="1">
      <c r="A338" s="257"/>
      <c r="B338" s="205"/>
      <c r="C338" s="202"/>
      <c r="D338" s="208"/>
      <c r="E338" s="169">
        <v>2020</v>
      </c>
      <c r="F338" s="7">
        <f t="shared" si="31"/>
        <v>1461.3</v>
      </c>
      <c r="G338" s="7"/>
      <c r="H338" s="7"/>
      <c r="I338" s="7">
        <v>1461.3</v>
      </c>
      <c r="J338" s="14"/>
      <c r="K338" s="208"/>
    </row>
    <row r="339" spans="1:16" ht="30.75" customHeight="1">
      <c r="A339" s="258"/>
      <c r="B339" s="243"/>
      <c r="C339" s="203"/>
      <c r="D339" s="208"/>
      <c r="E339" s="19" t="s">
        <v>18</v>
      </c>
      <c r="F339" s="9">
        <f>SUM(F333:F338)</f>
        <v>18847.400000000001</v>
      </c>
      <c r="G339" s="9"/>
      <c r="H339" s="9">
        <f>SUM(H333:H338)</f>
        <v>0</v>
      </c>
      <c r="I339" s="9">
        <f>SUM(I333:I338)</f>
        <v>18847.400000000001</v>
      </c>
      <c r="J339" s="46"/>
      <c r="K339" s="209"/>
    </row>
    <row r="340" spans="1:16" ht="13.5" customHeight="1">
      <c r="A340" s="228" t="s">
        <v>247</v>
      </c>
      <c r="B340" s="230" t="s">
        <v>248</v>
      </c>
      <c r="C340" s="232" t="s">
        <v>217</v>
      </c>
      <c r="D340" s="201" t="s">
        <v>218</v>
      </c>
      <c r="E340" s="169">
        <v>2016</v>
      </c>
      <c r="F340" s="10">
        <f>G340+H340+I340</f>
        <v>42</v>
      </c>
      <c r="G340" s="9"/>
      <c r="H340" s="9"/>
      <c r="I340" s="10">
        <v>42</v>
      </c>
      <c r="J340" s="23"/>
      <c r="K340" s="201" t="s">
        <v>140</v>
      </c>
      <c r="L340" s="108"/>
    </row>
    <row r="341" spans="1:16" ht="13.5" customHeight="1">
      <c r="A341" s="229"/>
      <c r="B341" s="231"/>
      <c r="C341" s="233"/>
      <c r="D341" s="208"/>
      <c r="E341" s="169">
        <v>2017</v>
      </c>
      <c r="F341" s="10">
        <f t="shared" ref="F341:F344" si="32">G341+H341+I341</f>
        <v>693.9</v>
      </c>
      <c r="G341" s="9"/>
      <c r="H341" s="9"/>
      <c r="I341" s="10">
        <v>693.9</v>
      </c>
      <c r="J341" s="23"/>
      <c r="K341" s="208"/>
      <c r="L341" s="108"/>
    </row>
    <row r="342" spans="1:16" ht="13.5" customHeight="1">
      <c r="A342" s="229"/>
      <c r="B342" s="231"/>
      <c r="C342" s="233"/>
      <c r="D342" s="208"/>
      <c r="E342" s="169">
        <v>2018</v>
      </c>
      <c r="F342" s="10">
        <f t="shared" si="32"/>
        <v>200</v>
      </c>
      <c r="G342" s="9"/>
      <c r="H342" s="9"/>
      <c r="I342" s="10">
        <v>200</v>
      </c>
      <c r="J342" s="23"/>
      <c r="K342" s="208"/>
      <c r="L342" s="108"/>
    </row>
    <row r="343" spans="1:16" ht="13.5" customHeight="1">
      <c r="A343" s="229"/>
      <c r="B343" s="231"/>
      <c r="C343" s="233"/>
      <c r="D343" s="208"/>
      <c r="E343" s="169">
        <v>2019</v>
      </c>
      <c r="F343" s="10">
        <f t="shared" si="32"/>
        <v>0</v>
      </c>
      <c r="G343" s="9"/>
      <c r="H343" s="9"/>
      <c r="I343" s="10">
        <v>0</v>
      </c>
      <c r="J343" s="23"/>
      <c r="K343" s="208"/>
      <c r="L343" s="108"/>
    </row>
    <row r="344" spans="1:16" ht="12.75" customHeight="1">
      <c r="A344" s="229"/>
      <c r="B344" s="231"/>
      <c r="C344" s="233"/>
      <c r="D344" s="208"/>
      <c r="E344" s="169">
        <v>2020</v>
      </c>
      <c r="F344" s="10">
        <f t="shared" si="32"/>
        <v>0</v>
      </c>
      <c r="G344" s="9"/>
      <c r="H344" s="9"/>
      <c r="I344" s="10">
        <v>0</v>
      </c>
      <c r="J344" s="23"/>
      <c r="K344" s="208"/>
    </row>
    <row r="345" spans="1:16" ht="18" customHeight="1">
      <c r="A345" s="229"/>
      <c r="B345" s="215"/>
      <c r="C345" s="233"/>
      <c r="D345" s="208"/>
      <c r="E345" s="27" t="s">
        <v>18</v>
      </c>
      <c r="F345" s="9">
        <f>SUM(F340:F344)</f>
        <v>935.9</v>
      </c>
      <c r="G345" s="9"/>
      <c r="H345" s="9">
        <v>0</v>
      </c>
      <c r="I345" s="9">
        <f>SUM(I340:I344)</f>
        <v>935.9</v>
      </c>
      <c r="J345" s="23"/>
      <c r="K345" s="208"/>
      <c r="P345" s="108"/>
    </row>
    <row r="346" spans="1:16" ht="13.5" customHeight="1">
      <c r="A346" s="228" t="s">
        <v>295</v>
      </c>
      <c r="B346" s="230" t="s">
        <v>271</v>
      </c>
      <c r="C346" s="232" t="s">
        <v>217</v>
      </c>
      <c r="D346" s="201" t="s">
        <v>218</v>
      </c>
      <c r="E346" s="169">
        <v>2017</v>
      </c>
      <c r="F346" s="10">
        <f>G346+H346+I346</f>
        <v>1046.7</v>
      </c>
      <c r="G346" s="9"/>
      <c r="H346" s="10">
        <f>1906.7-860</f>
        <v>1046.7</v>
      </c>
      <c r="I346" s="10"/>
      <c r="J346" s="23"/>
      <c r="K346" s="201" t="s">
        <v>273</v>
      </c>
      <c r="L346" s="108"/>
    </row>
    <row r="347" spans="1:16" ht="13.5" customHeight="1">
      <c r="A347" s="229"/>
      <c r="B347" s="231"/>
      <c r="C347" s="233"/>
      <c r="D347" s="208"/>
      <c r="E347" s="169">
        <v>2018</v>
      </c>
      <c r="F347" s="10">
        <f t="shared" ref="F347:F349" si="33">G347+H347+I347</f>
        <v>2127.6</v>
      </c>
      <c r="G347" s="9"/>
      <c r="H347" s="10">
        <v>2127.6</v>
      </c>
      <c r="I347" s="10"/>
      <c r="J347" s="23"/>
      <c r="K347" s="208"/>
      <c r="L347" s="108"/>
    </row>
    <row r="348" spans="1:16" ht="13.5" customHeight="1">
      <c r="A348" s="229"/>
      <c r="B348" s="231"/>
      <c r="C348" s="233"/>
      <c r="D348" s="208"/>
      <c r="E348" s="169">
        <v>2019</v>
      </c>
      <c r="F348" s="10">
        <f t="shared" si="33"/>
        <v>2145</v>
      </c>
      <c r="G348" s="9"/>
      <c r="H348" s="10">
        <v>2145</v>
      </c>
      <c r="I348" s="10"/>
      <c r="J348" s="23"/>
      <c r="K348" s="208"/>
      <c r="L348" s="108"/>
    </row>
    <row r="349" spans="1:16" ht="13.5" customHeight="1">
      <c r="A349" s="229"/>
      <c r="B349" s="231"/>
      <c r="C349" s="233"/>
      <c r="D349" s="208"/>
      <c r="E349" s="169">
        <v>2020</v>
      </c>
      <c r="F349" s="10">
        <f t="shared" si="33"/>
        <v>2160</v>
      </c>
      <c r="G349" s="9"/>
      <c r="H349" s="10">
        <v>2160</v>
      </c>
      <c r="I349" s="9"/>
      <c r="J349" s="23"/>
      <c r="K349" s="208"/>
      <c r="L349" s="108"/>
    </row>
    <row r="350" spans="1:16" ht="64.5" customHeight="1">
      <c r="A350" s="229"/>
      <c r="B350" s="215"/>
      <c r="C350" s="233"/>
      <c r="D350" s="208"/>
      <c r="E350" s="27" t="s">
        <v>18</v>
      </c>
      <c r="F350" s="9">
        <f>SUM(F346:F349)</f>
        <v>7479.3</v>
      </c>
      <c r="G350" s="9"/>
      <c r="H350" s="9">
        <f t="shared" ref="H350" si="34">SUM(H346:H349)</f>
        <v>7479.3</v>
      </c>
      <c r="I350" s="9">
        <f>SUM(I346:I349)</f>
        <v>0</v>
      </c>
      <c r="J350" s="23"/>
      <c r="K350" s="208"/>
    </row>
    <row r="351" spans="1:16" ht="13.5" customHeight="1">
      <c r="A351" s="228" t="s">
        <v>314</v>
      </c>
      <c r="B351" s="230" t="s">
        <v>312</v>
      </c>
      <c r="C351" s="232" t="s">
        <v>217</v>
      </c>
      <c r="D351" s="201" t="s">
        <v>218</v>
      </c>
      <c r="E351" s="169">
        <v>2017</v>
      </c>
      <c r="F351" s="10">
        <f>G351+H351+I351</f>
        <v>163</v>
      </c>
      <c r="G351" s="9"/>
      <c r="H351" s="10"/>
      <c r="I351" s="10">
        <v>163</v>
      </c>
      <c r="J351" s="23"/>
      <c r="K351" s="251" t="s">
        <v>398</v>
      </c>
      <c r="L351" s="108"/>
    </row>
    <row r="352" spans="1:16" ht="13.5" customHeight="1">
      <c r="A352" s="229"/>
      <c r="B352" s="231"/>
      <c r="C352" s="233"/>
      <c r="D352" s="208"/>
      <c r="E352" s="169">
        <v>2018</v>
      </c>
      <c r="F352" s="10">
        <f t="shared" ref="F352:F354" si="35">G352+H352+I352</f>
        <v>220</v>
      </c>
      <c r="G352" s="9"/>
      <c r="H352" s="9"/>
      <c r="I352" s="10">
        <v>220</v>
      </c>
      <c r="J352" s="23"/>
      <c r="K352" s="252"/>
      <c r="L352" s="108" t="s">
        <v>362</v>
      </c>
    </row>
    <row r="353" spans="1:32" ht="13.5" customHeight="1">
      <c r="A353" s="229"/>
      <c r="B353" s="231"/>
      <c r="C353" s="233"/>
      <c r="D353" s="208"/>
      <c r="E353" s="169">
        <v>2019</v>
      </c>
      <c r="F353" s="10">
        <f t="shared" si="35"/>
        <v>0</v>
      </c>
      <c r="G353" s="9"/>
      <c r="H353" s="9"/>
      <c r="I353" s="10">
        <v>0</v>
      </c>
      <c r="J353" s="23"/>
      <c r="K353" s="252"/>
      <c r="L353" s="108"/>
    </row>
    <row r="354" spans="1:32" ht="13.5" customHeight="1">
      <c r="A354" s="229"/>
      <c r="B354" s="231"/>
      <c r="C354" s="233"/>
      <c r="D354" s="208"/>
      <c r="E354" s="169">
        <v>2020</v>
      </c>
      <c r="F354" s="10">
        <f t="shared" si="35"/>
        <v>0</v>
      </c>
      <c r="G354" s="9"/>
      <c r="H354" s="9"/>
      <c r="I354" s="10">
        <v>0</v>
      </c>
      <c r="J354" s="23"/>
      <c r="K354" s="252"/>
      <c r="L354" s="108"/>
    </row>
    <row r="355" spans="1:32" ht="19.5" customHeight="1" thickBot="1">
      <c r="A355" s="229"/>
      <c r="B355" s="215"/>
      <c r="C355" s="233"/>
      <c r="D355" s="208"/>
      <c r="E355" s="27" t="s">
        <v>18</v>
      </c>
      <c r="F355" s="9">
        <f>SUM(F351:F354)</f>
        <v>383</v>
      </c>
      <c r="G355" s="9"/>
      <c r="H355" s="9">
        <f t="shared" ref="H355" si="36">SUM(H351:H354)</f>
        <v>0</v>
      </c>
      <c r="I355" s="9">
        <f>SUM(I351:I354)</f>
        <v>383</v>
      </c>
      <c r="J355" s="23"/>
      <c r="K355" s="252"/>
    </row>
    <row r="356" spans="1:32" ht="15.75" thickBot="1">
      <c r="A356" s="306" t="s">
        <v>185</v>
      </c>
      <c r="B356" s="307"/>
      <c r="C356" s="307"/>
      <c r="D356" s="307"/>
      <c r="E356" s="51"/>
      <c r="F356" s="184">
        <f>F332+F325+F318+F339+F345+F350+F355</f>
        <v>228732.80000000002</v>
      </c>
      <c r="G356" s="182"/>
      <c r="H356" s="183">
        <f>H332+H325+H318+H339+H345+H350+H355</f>
        <v>208516.10000000003</v>
      </c>
      <c r="I356" s="183">
        <f>I332+I325+I318+I339+I345+I350+I355</f>
        <v>20216.700000000004</v>
      </c>
      <c r="J356" s="111"/>
      <c r="K356" s="112"/>
      <c r="M356" s="135"/>
      <c r="N356" s="136"/>
    </row>
    <row r="357" spans="1:32" ht="16.5" thickBot="1">
      <c r="A357" s="244" t="s">
        <v>190</v>
      </c>
      <c r="B357" s="245"/>
      <c r="C357" s="245"/>
      <c r="D357" s="245"/>
      <c r="E357" s="245"/>
      <c r="F357" s="109"/>
      <c r="G357" s="109"/>
      <c r="H357" s="109"/>
      <c r="I357" s="110"/>
      <c r="J357" s="110"/>
      <c r="K357" s="110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5"/>
    </row>
    <row r="358" spans="1:32" ht="15">
      <c r="A358" s="246" t="s">
        <v>296</v>
      </c>
      <c r="B358" s="248" t="s">
        <v>123</v>
      </c>
      <c r="C358" s="232" t="s">
        <v>68</v>
      </c>
      <c r="D358" s="201" t="s">
        <v>218</v>
      </c>
      <c r="E358" s="169">
        <v>2015</v>
      </c>
      <c r="F358" s="7">
        <f t="shared" ref="F358:F363" si="37">SUM(G358:I358)</f>
        <v>175</v>
      </c>
      <c r="G358" s="7"/>
      <c r="H358" s="7"/>
      <c r="I358" s="7">
        <v>175</v>
      </c>
      <c r="J358" s="14"/>
      <c r="K358" s="201" t="s">
        <v>153</v>
      </c>
    </row>
    <row r="359" spans="1:32" ht="15">
      <c r="A359" s="247"/>
      <c r="B359" s="249"/>
      <c r="C359" s="202"/>
      <c r="D359" s="208"/>
      <c r="E359" s="169">
        <v>2016</v>
      </c>
      <c r="F359" s="7">
        <f t="shared" si="37"/>
        <v>195</v>
      </c>
      <c r="G359" s="7"/>
      <c r="H359" s="7"/>
      <c r="I359" s="7">
        <f>185+10</f>
        <v>195</v>
      </c>
      <c r="J359" s="14"/>
      <c r="K359" s="208"/>
    </row>
    <row r="360" spans="1:32" ht="15">
      <c r="A360" s="247"/>
      <c r="B360" s="249"/>
      <c r="C360" s="202"/>
      <c r="D360" s="208"/>
      <c r="E360" s="169">
        <v>2017</v>
      </c>
      <c r="F360" s="7">
        <f t="shared" si="37"/>
        <v>151.5</v>
      </c>
      <c r="G360" s="7"/>
      <c r="H360" s="7"/>
      <c r="I360" s="7">
        <v>151.5</v>
      </c>
      <c r="J360" s="14"/>
      <c r="K360" s="208"/>
      <c r="L360" s="108"/>
    </row>
    <row r="361" spans="1:32" ht="15">
      <c r="A361" s="247"/>
      <c r="B361" s="249"/>
      <c r="C361" s="202"/>
      <c r="D361" s="208"/>
      <c r="E361" s="169">
        <v>2018</v>
      </c>
      <c r="F361" s="7">
        <f t="shared" si="37"/>
        <v>205</v>
      </c>
      <c r="G361" s="7"/>
      <c r="H361" s="7"/>
      <c r="I361" s="7">
        <v>205</v>
      </c>
      <c r="J361" s="14"/>
      <c r="K361" s="208"/>
      <c r="L361" s="108"/>
    </row>
    <row r="362" spans="1:32" ht="15">
      <c r="A362" s="247"/>
      <c r="B362" s="249"/>
      <c r="C362" s="202"/>
      <c r="D362" s="208"/>
      <c r="E362" s="169">
        <v>2019</v>
      </c>
      <c r="F362" s="7">
        <f t="shared" si="37"/>
        <v>215</v>
      </c>
      <c r="G362" s="7"/>
      <c r="H362" s="7"/>
      <c r="I362" s="7">
        <v>215</v>
      </c>
      <c r="J362" s="14"/>
      <c r="K362" s="208"/>
      <c r="L362" s="108"/>
    </row>
    <row r="363" spans="1:32" ht="15">
      <c r="A363" s="247"/>
      <c r="B363" s="249"/>
      <c r="C363" s="202"/>
      <c r="D363" s="208"/>
      <c r="E363" s="169">
        <v>2020</v>
      </c>
      <c r="F363" s="7">
        <f t="shared" si="37"/>
        <v>100</v>
      </c>
      <c r="G363" s="7"/>
      <c r="H363" s="7"/>
      <c r="I363" s="7">
        <v>100</v>
      </c>
      <c r="J363" s="14"/>
      <c r="K363" s="208"/>
    </row>
    <row r="364" spans="1:32" ht="58.5" customHeight="1">
      <c r="A364" s="247"/>
      <c r="B364" s="249"/>
      <c r="C364" s="202"/>
      <c r="D364" s="208"/>
      <c r="E364" s="27" t="s">
        <v>18</v>
      </c>
      <c r="F364" s="9">
        <f>SUM(F358:F363)</f>
        <v>1041.5</v>
      </c>
      <c r="G364" s="9"/>
      <c r="H364" s="9"/>
      <c r="I364" s="9">
        <f>SUM(I358:I363)</f>
        <v>1041.5</v>
      </c>
      <c r="J364" s="23"/>
      <c r="K364" s="209"/>
    </row>
    <row r="365" spans="1:32" ht="15">
      <c r="A365" s="234" t="s">
        <v>297</v>
      </c>
      <c r="B365" s="248" t="s">
        <v>80</v>
      </c>
      <c r="C365" s="206" t="s">
        <v>68</v>
      </c>
      <c r="D365" s="201" t="s">
        <v>218</v>
      </c>
      <c r="E365" s="169">
        <v>2017</v>
      </c>
      <c r="F365" s="7">
        <f t="shared" ref="F365:F368" si="38">SUM(G365:I365)</f>
        <v>200</v>
      </c>
      <c r="G365" s="7"/>
      <c r="H365" s="7"/>
      <c r="I365" s="7">
        <v>200</v>
      </c>
      <c r="J365" s="14"/>
      <c r="K365" s="201" t="s">
        <v>169</v>
      </c>
      <c r="L365" s="108"/>
    </row>
    <row r="366" spans="1:32" ht="15">
      <c r="A366" s="235"/>
      <c r="B366" s="249"/>
      <c r="C366" s="207"/>
      <c r="D366" s="208"/>
      <c r="E366" s="169">
        <v>2018</v>
      </c>
      <c r="F366" s="7">
        <f t="shared" si="38"/>
        <v>240</v>
      </c>
      <c r="G366" s="7"/>
      <c r="H366" s="7"/>
      <c r="I366" s="7">
        <v>240</v>
      </c>
      <c r="J366" s="14"/>
      <c r="K366" s="208"/>
    </row>
    <row r="367" spans="1:32" ht="15">
      <c r="A367" s="235"/>
      <c r="B367" s="249"/>
      <c r="C367" s="207"/>
      <c r="D367" s="208"/>
      <c r="E367" s="169">
        <v>2019</v>
      </c>
      <c r="F367" s="7">
        <f t="shared" si="38"/>
        <v>260</v>
      </c>
      <c r="G367" s="7"/>
      <c r="H367" s="7"/>
      <c r="I367" s="7">
        <v>260</v>
      </c>
      <c r="J367" s="14"/>
      <c r="K367" s="208"/>
      <c r="L367" s="108"/>
    </row>
    <row r="368" spans="1:32" ht="15">
      <c r="A368" s="235"/>
      <c r="B368" s="249"/>
      <c r="C368" s="207"/>
      <c r="D368" s="208"/>
      <c r="E368" s="169">
        <v>2020</v>
      </c>
      <c r="F368" s="7">
        <f t="shared" si="38"/>
        <v>100</v>
      </c>
      <c r="G368" s="7"/>
      <c r="H368" s="7"/>
      <c r="I368" s="7">
        <v>100</v>
      </c>
      <c r="J368" s="14"/>
      <c r="K368" s="208"/>
      <c r="L368" s="108"/>
    </row>
    <row r="369" spans="1:32" ht="58.5" customHeight="1" thickBot="1">
      <c r="A369" s="235"/>
      <c r="B369" s="249"/>
      <c r="C369" s="207"/>
      <c r="D369" s="208"/>
      <c r="E369" s="27" t="s">
        <v>18</v>
      </c>
      <c r="F369" s="9">
        <f>SUM(F365:F368)</f>
        <v>800</v>
      </c>
      <c r="G369" s="9"/>
      <c r="H369" s="9"/>
      <c r="I369" s="9">
        <f>SUM(I365:I368)</f>
        <v>800</v>
      </c>
      <c r="J369" s="23"/>
      <c r="K369" s="209"/>
    </row>
    <row r="370" spans="1:32" ht="15.75" thickBot="1">
      <c r="A370" s="490" t="s">
        <v>197</v>
      </c>
      <c r="B370" s="307"/>
      <c r="C370" s="491"/>
      <c r="D370" s="307"/>
      <c r="E370" s="56"/>
      <c r="F370" s="152">
        <f>F369+F364</f>
        <v>1841.5</v>
      </c>
      <c r="G370" s="185"/>
      <c r="H370" s="152">
        <f>H369+H364</f>
        <v>0</v>
      </c>
      <c r="I370" s="152">
        <f>I369+I364</f>
        <v>1841.5</v>
      </c>
      <c r="J370" s="52"/>
      <c r="K370" s="53"/>
      <c r="L370" s="135"/>
      <c r="M370" s="136"/>
    </row>
    <row r="371" spans="1:32" ht="16.5" thickBot="1">
      <c r="A371" s="212" t="s">
        <v>191</v>
      </c>
      <c r="B371" s="213"/>
      <c r="C371" s="213"/>
      <c r="D371" s="213"/>
      <c r="E371" s="213"/>
      <c r="F371" s="213"/>
      <c r="G371" s="213"/>
      <c r="H371" s="213"/>
      <c r="I371" s="213"/>
      <c r="J371" s="213"/>
      <c r="K371" s="214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8"/>
    </row>
    <row r="372" spans="1:32" ht="15">
      <c r="A372" s="217" t="s">
        <v>154</v>
      </c>
      <c r="B372" s="215" t="s">
        <v>308</v>
      </c>
      <c r="C372" s="233" t="s">
        <v>68</v>
      </c>
      <c r="D372" s="208" t="s">
        <v>218</v>
      </c>
      <c r="E372" s="165">
        <v>2015</v>
      </c>
      <c r="F372" s="176">
        <f t="shared" ref="F372:F377" si="39">SUM(G372:I372)</f>
        <v>275</v>
      </c>
      <c r="G372" s="176"/>
      <c r="H372" s="176"/>
      <c r="I372" s="176">
        <v>275</v>
      </c>
      <c r="J372" s="12"/>
      <c r="K372" s="208" t="s">
        <v>155</v>
      </c>
    </row>
    <row r="373" spans="1:32" ht="15">
      <c r="A373" s="492"/>
      <c r="B373" s="204"/>
      <c r="C373" s="202"/>
      <c r="D373" s="208"/>
      <c r="E373" s="169">
        <v>2016</v>
      </c>
      <c r="F373" s="7">
        <f t="shared" si="39"/>
        <v>294.7</v>
      </c>
      <c r="G373" s="7"/>
      <c r="H373" s="7"/>
      <c r="I373" s="7">
        <f>295-0.3</f>
        <v>294.7</v>
      </c>
      <c r="J373" s="14"/>
      <c r="K373" s="208"/>
    </row>
    <row r="374" spans="1:32" ht="15">
      <c r="A374" s="492"/>
      <c r="B374" s="204"/>
      <c r="C374" s="202"/>
      <c r="D374" s="208"/>
      <c r="E374" s="169">
        <v>2017</v>
      </c>
      <c r="F374" s="7">
        <f t="shared" si="39"/>
        <v>0</v>
      </c>
      <c r="G374" s="7"/>
      <c r="H374" s="7"/>
      <c r="I374" s="7">
        <f>240.5-240.5</f>
        <v>0</v>
      </c>
      <c r="J374" s="14"/>
      <c r="K374" s="208"/>
      <c r="L374" s="108" t="s">
        <v>382</v>
      </c>
      <c r="N374" s="108"/>
      <c r="O374" s="108"/>
    </row>
    <row r="375" spans="1:32" ht="15">
      <c r="A375" s="492"/>
      <c r="B375" s="204"/>
      <c r="C375" s="202"/>
      <c r="D375" s="208"/>
      <c r="E375" s="169">
        <v>2018</v>
      </c>
      <c r="F375" s="7">
        <f t="shared" si="39"/>
        <v>0</v>
      </c>
      <c r="G375" s="7"/>
      <c r="H375" s="7"/>
      <c r="I375" s="7">
        <v>0</v>
      </c>
      <c r="J375" s="14"/>
      <c r="K375" s="208"/>
      <c r="L375" s="108"/>
      <c r="N375" s="108"/>
      <c r="O375" s="108"/>
    </row>
    <row r="376" spans="1:32" ht="15">
      <c r="A376" s="492"/>
      <c r="B376" s="204"/>
      <c r="C376" s="202"/>
      <c r="D376" s="208"/>
      <c r="E376" s="169">
        <v>2019</v>
      </c>
      <c r="F376" s="7">
        <f t="shared" si="39"/>
        <v>0</v>
      </c>
      <c r="G376" s="7"/>
      <c r="H376" s="7"/>
      <c r="I376" s="7">
        <v>0</v>
      </c>
      <c r="J376" s="14"/>
      <c r="K376" s="208"/>
      <c r="L376" s="108"/>
    </row>
    <row r="377" spans="1:32" ht="15">
      <c r="A377" s="492"/>
      <c r="B377" s="204"/>
      <c r="C377" s="202"/>
      <c r="D377" s="208"/>
      <c r="E377" s="169">
        <v>2020</v>
      </c>
      <c r="F377" s="7">
        <f t="shared" si="39"/>
        <v>0</v>
      </c>
      <c r="G377" s="7"/>
      <c r="H377" s="7"/>
      <c r="I377" s="7">
        <v>0</v>
      </c>
      <c r="J377" s="14"/>
      <c r="K377" s="208"/>
    </row>
    <row r="378" spans="1:32" ht="59.25" customHeight="1" thickBot="1">
      <c r="A378" s="493"/>
      <c r="B378" s="204"/>
      <c r="C378" s="326"/>
      <c r="D378" s="208"/>
      <c r="E378" s="19" t="s">
        <v>18</v>
      </c>
      <c r="F378" s="8">
        <f>SUM(F372:F377)</f>
        <v>569.70000000000005</v>
      </c>
      <c r="G378" s="8"/>
      <c r="H378" s="8">
        <f>SUM(H372:H377)</f>
        <v>0</v>
      </c>
      <c r="I378" s="8">
        <f>SUM(I372:I377)</f>
        <v>569.70000000000005</v>
      </c>
      <c r="J378" s="14"/>
      <c r="K378" s="494"/>
      <c r="L378" s="135"/>
      <c r="M378" s="136"/>
    </row>
    <row r="379" spans="1:32" ht="15.75" thickBot="1">
      <c r="A379" s="306" t="s">
        <v>199</v>
      </c>
      <c r="B379" s="307"/>
      <c r="C379" s="307"/>
      <c r="D379" s="307"/>
      <c r="E379" s="56"/>
      <c r="F379" s="152">
        <f>SUM(F378)</f>
        <v>569.70000000000005</v>
      </c>
      <c r="G379" s="185"/>
      <c r="H379" s="152">
        <f>SUM(H378)</f>
        <v>0</v>
      </c>
      <c r="I379" s="152">
        <f>SUM(I378)</f>
        <v>569.70000000000005</v>
      </c>
      <c r="J379" s="52"/>
      <c r="K379" s="53"/>
    </row>
    <row r="380" spans="1:32" ht="16.5" thickBot="1">
      <c r="A380" s="212" t="s">
        <v>192</v>
      </c>
      <c r="B380" s="213"/>
      <c r="C380" s="213"/>
      <c r="D380" s="213"/>
      <c r="E380" s="213"/>
      <c r="F380" s="213"/>
      <c r="G380" s="213"/>
      <c r="H380" s="213"/>
      <c r="I380" s="213"/>
      <c r="J380" s="213"/>
      <c r="K380" s="214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  <c r="AA380" s="57"/>
      <c r="AB380" s="57"/>
      <c r="AC380" s="57"/>
      <c r="AD380" s="57"/>
      <c r="AE380" s="57"/>
      <c r="AF380" s="58"/>
    </row>
    <row r="381" spans="1:32" ht="15">
      <c r="A381" s="301" t="s">
        <v>156</v>
      </c>
      <c r="B381" s="426" t="s">
        <v>239</v>
      </c>
      <c r="C381" s="233" t="s">
        <v>68</v>
      </c>
      <c r="D381" s="208" t="s">
        <v>218</v>
      </c>
      <c r="E381" s="165">
        <v>2015</v>
      </c>
      <c r="F381" s="176">
        <f t="shared" ref="F381:F386" si="40">SUM(G381:J381)</f>
        <v>1715</v>
      </c>
      <c r="G381" s="176"/>
      <c r="H381" s="176">
        <v>1715</v>
      </c>
      <c r="I381" s="12"/>
      <c r="J381" s="12"/>
      <c r="K381" s="208" t="s">
        <v>157</v>
      </c>
    </row>
    <row r="382" spans="1:32" ht="15">
      <c r="A382" s="302"/>
      <c r="B382" s="248"/>
      <c r="C382" s="202"/>
      <c r="D382" s="208"/>
      <c r="E382" s="169">
        <v>2016</v>
      </c>
      <c r="F382" s="7">
        <f t="shared" si="40"/>
        <v>931.30000000000018</v>
      </c>
      <c r="G382" s="7"/>
      <c r="H382" s="7">
        <f>2151.3-1220</f>
        <v>931.30000000000018</v>
      </c>
      <c r="I382" s="14"/>
      <c r="J382" s="14"/>
      <c r="K382" s="483"/>
      <c r="L382" s="108"/>
    </row>
    <row r="383" spans="1:32" ht="15">
      <c r="A383" s="302"/>
      <c r="B383" s="248"/>
      <c r="C383" s="202"/>
      <c r="D383" s="208"/>
      <c r="E383" s="169">
        <v>2017</v>
      </c>
      <c r="F383" s="7">
        <f t="shared" si="40"/>
        <v>1100</v>
      </c>
      <c r="G383" s="7"/>
      <c r="H383" s="7">
        <v>1100</v>
      </c>
      <c r="I383" s="14"/>
      <c r="J383" s="14"/>
      <c r="K383" s="483"/>
      <c r="L383" s="108"/>
      <c r="M383" s="115"/>
    </row>
    <row r="384" spans="1:32" ht="15">
      <c r="A384" s="302"/>
      <c r="B384" s="248"/>
      <c r="C384" s="202"/>
      <c r="D384" s="208"/>
      <c r="E384" s="169">
        <v>2018</v>
      </c>
      <c r="F384" s="7">
        <f t="shared" si="40"/>
        <v>850</v>
      </c>
      <c r="G384" s="7"/>
      <c r="H384" s="7">
        <v>850</v>
      </c>
      <c r="I384" s="14"/>
      <c r="J384" s="14"/>
      <c r="K384" s="483"/>
      <c r="L384" s="108"/>
      <c r="M384" s="115"/>
    </row>
    <row r="385" spans="1:35" ht="15">
      <c r="A385" s="302"/>
      <c r="B385" s="248"/>
      <c r="C385" s="202"/>
      <c r="D385" s="208"/>
      <c r="E385" s="169">
        <v>2019</v>
      </c>
      <c r="F385" s="7">
        <f t="shared" si="40"/>
        <v>900</v>
      </c>
      <c r="G385" s="7"/>
      <c r="H385" s="7">
        <v>900</v>
      </c>
      <c r="I385" s="14"/>
      <c r="J385" s="14"/>
      <c r="K385" s="483"/>
      <c r="L385" s="108"/>
      <c r="M385" s="115"/>
    </row>
    <row r="386" spans="1:35" ht="15">
      <c r="A386" s="302"/>
      <c r="B386" s="248"/>
      <c r="C386" s="202"/>
      <c r="D386" s="208"/>
      <c r="E386" s="169">
        <v>2020</v>
      </c>
      <c r="F386" s="7">
        <f t="shared" si="40"/>
        <v>950</v>
      </c>
      <c r="G386" s="7"/>
      <c r="H386" s="7">
        <v>950</v>
      </c>
      <c r="I386" s="14"/>
      <c r="J386" s="14"/>
      <c r="K386" s="483"/>
    </row>
    <row r="387" spans="1:35" ht="63.75" customHeight="1">
      <c r="A387" s="302"/>
      <c r="B387" s="487"/>
      <c r="C387" s="202"/>
      <c r="D387" s="208"/>
      <c r="E387" s="27" t="s">
        <v>18</v>
      </c>
      <c r="F387" s="9">
        <f>SUM(F381:F386)</f>
        <v>6446.3</v>
      </c>
      <c r="G387" s="9"/>
      <c r="H387" s="9">
        <f>SUM(H381:H386)</f>
        <v>6446.3</v>
      </c>
      <c r="I387" s="23"/>
      <c r="J387" s="23"/>
      <c r="K387" s="483"/>
      <c r="L387" s="135"/>
      <c r="M387" s="136"/>
    </row>
    <row r="388" spans="1:35" ht="18" customHeight="1">
      <c r="A388" s="250" t="s">
        <v>221</v>
      </c>
      <c r="B388" s="250"/>
      <c r="C388" s="250"/>
      <c r="D388" s="250"/>
      <c r="E388" s="156"/>
      <c r="F388" s="186">
        <f>F387</f>
        <v>6446.3</v>
      </c>
      <c r="G388" s="187"/>
      <c r="H388" s="186">
        <f>H387</f>
        <v>6446.3</v>
      </c>
      <c r="I388" s="156"/>
      <c r="J388" s="156"/>
      <c r="K388" s="156"/>
    </row>
    <row r="389" spans="1:35" ht="47.25" customHeight="1">
      <c r="A389" s="296" t="s">
        <v>222</v>
      </c>
      <c r="B389" s="297"/>
      <c r="C389" s="297"/>
      <c r="D389" s="298"/>
      <c r="E389" s="89" t="s">
        <v>61</v>
      </c>
      <c r="F389" s="89" t="s">
        <v>18</v>
      </c>
      <c r="G389" s="89" t="s">
        <v>10</v>
      </c>
      <c r="H389" s="88" t="s">
        <v>11</v>
      </c>
      <c r="I389" s="88" t="s">
        <v>12</v>
      </c>
      <c r="J389" s="88" t="s">
        <v>13</v>
      </c>
      <c r="K389" s="53"/>
    </row>
    <row r="390" spans="1:35" ht="15" thickBot="1">
      <c r="A390" s="84"/>
      <c r="B390" s="84"/>
      <c r="C390" s="84"/>
      <c r="D390" s="84"/>
      <c r="E390" s="84"/>
      <c r="F390" s="188">
        <f>SUM(G390:J390)</f>
        <v>4154063.6</v>
      </c>
      <c r="G390" s="188">
        <f>G387+G379+G370+G356+G309+G274</f>
        <v>0</v>
      </c>
      <c r="H390" s="188">
        <f>H387+H379+H370+H356+H309+H274</f>
        <v>3730101.3000000003</v>
      </c>
      <c r="I390" s="188">
        <f>I387+I379+I370+I356+I309+I274</f>
        <v>423962.29999999993</v>
      </c>
      <c r="J390" s="99"/>
      <c r="K390" s="84"/>
    </row>
    <row r="391" spans="1:35" ht="41.25" customHeight="1">
      <c r="A391" s="285" t="s">
        <v>231</v>
      </c>
      <c r="B391" s="286"/>
      <c r="C391" s="286"/>
      <c r="D391" s="286"/>
      <c r="E391" s="286"/>
      <c r="F391" s="286"/>
      <c r="G391" s="286"/>
      <c r="H391" s="286"/>
      <c r="I391" s="286"/>
      <c r="J391" s="286"/>
      <c r="K391" s="286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  <c r="AG391" s="40"/>
      <c r="AH391" s="40"/>
      <c r="AI391" s="41"/>
    </row>
    <row r="392" spans="1:35" ht="35.25" customHeight="1">
      <c r="A392" s="299" t="s">
        <v>193</v>
      </c>
      <c r="B392" s="300"/>
      <c r="C392" s="300"/>
      <c r="D392" s="300"/>
      <c r="E392" s="300"/>
      <c r="F392" s="300"/>
      <c r="G392" s="300"/>
      <c r="H392" s="300"/>
      <c r="I392" s="300"/>
      <c r="J392" s="300"/>
      <c r="K392" s="300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60"/>
    </row>
    <row r="393" spans="1:35">
      <c r="A393" s="482" t="s">
        <v>103</v>
      </c>
      <c r="B393" s="238" t="s">
        <v>69</v>
      </c>
      <c r="C393" s="232" t="s">
        <v>68</v>
      </c>
      <c r="D393" s="201" t="s">
        <v>218</v>
      </c>
      <c r="E393" s="169">
        <v>2015</v>
      </c>
      <c r="F393" s="169"/>
      <c r="G393" s="169"/>
      <c r="H393" s="169"/>
      <c r="I393" s="169"/>
      <c r="J393" s="169"/>
      <c r="K393" s="201" t="s">
        <v>158</v>
      </c>
    </row>
    <row r="394" spans="1:35">
      <c r="A394" s="302"/>
      <c r="B394" s="254"/>
      <c r="C394" s="202"/>
      <c r="D394" s="208"/>
      <c r="E394" s="169">
        <v>2016</v>
      </c>
      <c r="F394" s="169"/>
      <c r="G394" s="169"/>
      <c r="H394" s="169"/>
      <c r="I394" s="169"/>
      <c r="J394" s="169"/>
      <c r="K394" s="208"/>
    </row>
    <row r="395" spans="1:35">
      <c r="A395" s="302"/>
      <c r="B395" s="254"/>
      <c r="C395" s="202"/>
      <c r="D395" s="208"/>
      <c r="E395" s="169">
        <v>2017</v>
      </c>
      <c r="F395" s="169"/>
      <c r="G395" s="169"/>
      <c r="H395" s="169"/>
      <c r="I395" s="169"/>
      <c r="J395" s="169"/>
      <c r="K395" s="208"/>
    </row>
    <row r="396" spans="1:35">
      <c r="A396" s="302"/>
      <c r="B396" s="254"/>
      <c r="C396" s="202"/>
      <c r="D396" s="208"/>
      <c r="E396" s="169">
        <v>2018</v>
      </c>
      <c r="F396" s="169"/>
      <c r="G396" s="169"/>
      <c r="H396" s="169"/>
      <c r="I396" s="169"/>
      <c r="J396" s="169"/>
      <c r="K396" s="208"/>
      <c r="L396" s="108"/>
    </row>
    <row r="397" spans="1:35">
      <c r="A397" s="302"/>
      <c r="B397" s="254"/>
      <c r="C397" s="202"/>
      <c r="D397" s="208"/>
      <c r="E397" s="169">
        <v>2019</v>
      </c>
      <c r="F397" s="169"/>
      <c r="G397" s="169"/>
      <c r="H397" s="169"/>
      <c r="I397" s="169"/>
      <c r="J397" s="169"/>
      <c r="K397" s="208"/>
    </row>
    <row r="398" spans="1:35">
      <c r="A398" s="302"/>
      <c r="B398" s="254"/>
      <c r="C398" s="202"/>
      <c r="D398" s="208"/>
      <c r="E398" s="169">
        <v>2020</v>
      </c>
      <c r="F398" s="169"/>
      <c r="G398" s="169"/>
      <c r="H398" s="169"/>
      <c r="I398" s="169"/>
      <c r="J398" s="169"/>
      <c r="K398" s="208"/>
      <c r="L398" s="136"/>
      <c r="M398" s="136"/>
    </row>
    <row r="399" spans="1:35" ht="13.5" thickBot="1">
      <c r="A399" s="302"/>
      <c r="B399" s="254"/>
      <c r="C399" s="202"/>
      <c r="D399" s="208"/>
      <c r="E399" s="27" t="s">
        <v>18</v>
      </c>
      <c r="F399" s="27"/>
      <c r="G399" s="164"/>
      <c r="H399" s="164"/>
      <c r="I399" s="164"/>
      <c r="J399" s="164"/>
      <c r="K399" s="208"/>
    </row>
    <row r="400" spans="1:35" ht="30" customHeight="1" thickBot="1">
      <c r="A400" s="287" t="s">
        <v>194</v>
      </c>
      <c r="B400" s="300"/>
      <c r="C400" s="300"/>
      <c r="D400" s="300"/>
      <c r="E400" s="300"/>
      <c r="F400" s="300"/>
      <c r="G400" s="300"/>
      <c r="H400" s="300"/>
      <c r="I400" s="300"/>
      <c r="J400" s="300"/>
      <c r="K400" s="300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2"/>
    </row>
    <row r="401" spans="1:35" ht="15" thickBot="1">
      <c r="A401" s="478" t="s">
        <v>70</v>
      </c>
      <c r="B401" s="479"/>
      <c r="C401" s="479"/>
      <c r="D401" s="479"/>
      <c r="E401" s="479"/>
      <c r="F401" s="479"/>
      <c r="G401" s="479"/>
      <c r="H401" s="479"/>
      <c r="I401" s="479"/>
      <c r="J401" s="479"/>
      <c r="K401" s="480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  <c r="AA401" s="63"/>
      <c r="AB401" s="63"/>
      <c r="AC401" s="63"/>
      <c r="AD401" s="63"/>
      <c r="AE401" s="63"/>
      <c r="AF401" s="63"/>
      <c r="AG401" s="63"/>
      <c r="AH401" s="63"/>
      <c r="AI401" s="64"/>
    </row>
    <row r="402" spans="1:35" ht="12.75" customHeight="1">
      <c r="A402" s="330" t="s">
        <v>64</v>
      </c>
      <c r="B402" s="481" t="s">
        <v>160</v>
      </c>
      <c r="C402" s="232" t="s">
        <v>68</v>
      </c>
      <c r="D402" s="201" t="s">
        <v>218</v>
      </c>
      <c r="E402" s="169">
        <v>2015</v>
      </c>
      <c r="F402" s="7">
        <f t="shared" ref="F402:F407" si="41">SUM(G402:J402)</f>
        <v>44637.9</v>
      </c>
      <c r="G402" s="7"/>
      <c r="H402" s="7"/>
      <c r="I402" s="7">
        <f>49100-1324.1-939.1-30-1573.9-583-12</f>
        <v>44637.9</v>
      </c>
      <c r="J402" s="14"/>
      <c r="K402" s="201" t="s">
        <v>159</v>
      </c>
    </row>
    <row r="403" spans="1:35" ht="15">
      <c r="A403" s="331"/>
      <c r="B403" s="205"/>
      <c r="C403" s="202"/>
      <c r="D403" s="208"/>
      <c r="E403" s="169">
        <v>2016</v>
      </c>
      <c r="F403" s="7">
        <f t="shared" si="41"/>
        <v>44921</v>
      </c>
      <c r="G403" s="7"/>
      <c r="H403" s="7"/>
      <c r="I403" s="7">
        <f>47428-1000-707-500-300</f>
        <v>44921</v>
      </c>
      <c r="J403" s="14"/>
      <c r="K403" s="208"/>
    </row>
    <row r="404" spans="1:35" ht="15">
      <c r="A404" s="331"/>
      <c r="B404" s="205"/>
      <c r="C404" s="202"/>
      <c r="D404" s="208"/>
      <c r="E404" s="169">
        <v>2017</v>
      </c>
      <c r="F404" s="7">
        <f t="shared" si="41"/>
        <v>48074.7</v>
      </c>
      <c r="G404" s="7"/>
      <c r="H404" s="7"/>
      <c r="I404" s="7">
        <f>42110.2+3343.8+2620.7</f>
        <v>48074.7</v>
      </c>
      <c r="J404" s="14"/>
      <c r="K404" s="208"/>
      <c r="L404" s="137" t="s">
        <v>367</v>
      </c>
      <c r="M404" s="4">
        <v>3343.8</v>
      </c>
    </row>
    <row r="405" spans="1:35" ht="15">
      <c r="A405" s="331"/>
      <c r="B405" s="205"/>
      <c r="C405" s="202"/>
      <c r="D405" s="208"/>
      <c r="E405" s="169">
        <v>2018</v>
      </c>
      <c r="F405" s="7">
        <f t="shared" si="41"/>
        <v>42917</v>
      </c>
      <c r="G405" s="7"/>
      <c r="H405" s="7"/>
      <c r="I405" s="7">
        <v>42917</v>
      </c>
      <c r="J405" s="14"/>
      <c r="K405" s="208"/>
      <c r="L405" s="108"/>
      <c r="M405" s="115"/>
    </row>
    <row r="406" spans="1:35" ht="15">
      <c r="A406" s="331"/>
      <c r="B406" s="205"/>
      <c r="C406" s="202"/>
      <c r="D406" s="208"/>
      <c r="E406" s="169">
        <v>2019</v>
      </c>
      <c r="F406" s="7">
        <f t="shared" ref="F406" si="42">SUM(G406:J406)</f>
        <v>52101.8</v>
      </c>
      <c r="G406" s="7"/>
      <c r="H406" s="7"/>
      <c r="I406" s="7">
        <v>52101.8</v>
      </c>
      <c r="J406" s="14"/>
      <c r="K406" s="208"/>
      <c r="L406" s="108"/>
      <c r="M406" s="115"/>
    </row>
    <row r="407" spans="1:35" ht="15">
      <c r="A407" s="331"/>
      <c r="B407" s="205"/>
      <c r="C407" s="202"/>
      <c r="D407" s="208"/>
      <c r="E407" s="169">
        <v>2020</v>
      </c>
      <c r="F407" s="7">
        <f t="shared" si="41"/>
        <v>43670</v>
      </c>
      <c r="G407" s="7"/>
      <c r="H407" s="7"/>
      <c r="I407" s="7">
        <v>43670</v>
      </c>
      <c r="J407" s="14"/>
      <c r="K407" s="208"/>
    </row>
    <row r="408" spans="1:35" ht="15.75" customHeight="1" thickBot="1">
      <c r="A408" s="331"/>
      <c r="B408" s="243"/>
      <c r="C408" s="326"/>
      <c r="D408" s="208"/>
      <c r="E408" s="19" t="s">
        <v>18</v>
      </c>
      <c r="F408" s="8">
        <f>SUM(F402:F407)</f>
        <v>276322.39999999997</v>
      </c>
      <c r="G408" s="8"/>
      <c r="H408" s="8">
        <f>SUM(H405:H407)</f>
        <v>0</v>
      </c>
      <c r="I408" s="8">
        <f>SUM(I402:I407)</f>
        <v>276322.39999999997</v>
      </c>
      <c r="J408" s="14"/>
      <c r="K408" s="209"/>
    </row>
    <row r="409" spans="1:35" ht="15" thickBot="1">
      <c r="A409" s="241" t="s">
        <v>71</v>
      </c>
      <c r="B409" s="205"/>
      <c r="C409" s="205"/>
      <c r="D409" s="205"/>
      <c r="E409" s="205"/>
      <c r="F409" s="205"/>
      <c r="G409" s="205"/>
      <c r="H409" s="205"/>
      <c r="I409" s="205"/>
      <c r="J409" s="205"/>
      <c r="K409" s="205"/>
      <c r="L409" s="26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6"/>
    </row>
    <row r="410" spans="1:35">
      <c r="A410" s="346" t="s">
        <v>293</v>
      </c>
      <c r="B410" s="481" t="s">
        <v>161</v>
      </c>
      <c r="C410" s="232" t="s">
        <v>68</v>
      </c>
      <c r="D410" s="201" t="s">
        <v>218</v>
      </c>
      <c r="E410" s="169">
        <v>2015</v>
      </c>
      <c r="F410" s="14"/>
      <c r="G410" s="14"/>
      <c r="H410" s="14"/>
      <c r="I410" s="14"/>
      <c r="J410" s="14"/>
      <c r="K410" s="201" t="s">
        <v>162</v>
      </c>
      <c r="L410" s="29"/>
    </row>
    <row r="411" spans="1:35">
      <c r="A411" s="347"/>
      <c r="B411" s="205"/>
      <c r="C411" s="202"/>
      <c r="D411" s="208"/>
      <c r="E411" s="169">
        <v>2016</v>
      </c>
      <c r="F411" s="14"/>
      <c r="G411" s="14"/>
      <c r="H411" s="14"/>
      <c r="I411" s="14"/>
      <c r="J411" s="14"/>
      <c r="K411" s="208"/>
    </row>
    <row r="412" spans="1:35">
      <c r="A412" s="347"/>
      <c r="B412" s="205"/>
      <c r="C412" s="202"/>
      <c r="D412" s="208"/>
      <c r="E412" s="169">
        <v>2017</v>
      </c>
      <c r="F412" s="14"/>
      <c r="G412" s="14"/>
      <c r="H412" s="14"/>
      <c r="I412" s="14"/>
      <c r="J412" s="14"/>
      <c r="K412" s="208"/>
      <c r="L412" s="108"/>
    </row>
    <row r="413" spans="1:35" ht="15">
      <c r="A413" s="347"/>
      <c r="B413" s="205"/>
      <c r="C413" s="202"/>
      <c r="D413" s="208"/>
      <c r="E413" s="169">
        <v>2018</v>
      </c>
      <c r="F413" s="7">
        <f>SUM(G413:J413)</f>
        <v>0</v>
      </c>
      <c r="G413" s="7"/>
      <c r="H413" s="7"/>
      <c r="I413" s="7"/>
      <c r="J413" s="7">
        <v>0</v>
      </c>
      <c r="K413" s="208"/>
      <c r="L413" s="108"/>
    </row>
    <row r="414" spans="1:35" ht="15">
      <c r="A414" s="347"/>
      <c r="B414" s="205"/>
      <c r="C414" s="202"/>
      <c r="D414" s="208"/>
      <c r="E414" s="169">
        <v>2019</v>
      </c>
      <c r="F414" s="7">
        <f>SUM(G414:J414)</f>
        <v>0</v>
      </c>
      <c r="G414" s="7"/>
      <c r="H414" s="7"/>
      <c r="I414" s="7"/>
      <c r="J414" s="7">
        <v>0</v>
      </c>
      <c r="K414" s="208"/>
    </row>
    <row r="415" spans="1:35" ht="15">
      <c r="A415" s="347"/>
      <c r="B415" s="205"/>
      <c r="C415" s="202"/>
      <c r="D415" s="208"/>
      <c r="E415" s="169">
        <v>2020</v>
      </c>
      <c r="F415" s="7">
        <f>SUM(G415:J415)</f>
        <v>0</v>
      </c>
      <c r="G415" s="7"/>
      <c r="H415" s="7"/>
      <c r="I415" s="7"/>
      <c r="J415" s="7">
        <v>0</v>
      </c>
      <c r="K415" s="208"/>
    </row>
    <row r="416" spans="1:35" ht="25.5" customHeight="1">
      <c r="A416" s="347"/>
      <c r="B416" s="205"/>
      <c r="C416" s="202"/>
      <c r="D416" s="208"/>
      <c r="E416" s="19" t="s">
        <v>18</v>
      </c>
      <c r="F416" s="8">
        <f>SUM(F410:F415)</f>
        <v>0</v>
      </c>
      <c r="G416" s="7"/>
      <c r="H416" s="7"/>
      <c r="I416" s="7"/>
      <c r="J416" s="8">
        <f>SUM(J410:J415)</f>
        <v>0</v>
      </c>
      <c r="K416" s="209"/>
    </row>
    <row r="417" spans="1:14">
      <c r="A417" s="485" t="s">
        <v>72</v>
      </c>
      <c r="B417" s="215" t="s">
        <v>163</v>
      </c>
      <c r="C417" s="206" t="s">
        <v>68</v>
      </c>
      <c r="D417" s="201" t="s">
        <v>218</v>
      </c>
      <c r="E417" s="165">
        <v>2015</v>
      </c>
      <c r="F417" s="12"/>
      <c r="G417" s="12"/>
      <c r="H417" s="12"/>
      <c r="I417" s="12"/>
      <c r="J417" s="12"/>
      <c r="K417" s="201" t="s">
        <v>162</v>
      </c>
    </row>
    <row r="418" spans="1:14">
      <c r="A418" s="211"/>
      <c r="B418" s="205"/>
      <c r="C418" s="207"/>
      <c r="D418" s="208"/>
      <c r="E418" s="169">
        <v>2016</v>
      </c>
      <c r="F418" s="14"/>
      <c r="G418" s="14"/>
      <c r="H418" s="14"/>
      <c r="I418" s="14"/>
      <c r="J418" s="14"/>
      <c r="K418" s="208"/>
    </row>
    <row r="419" spans="1:14">
      <c r="A419" s="211"/>
      <c r="B419" s="205"/>
      <c r="C419" s="207"/>
      <c r="D419" s="208"/>
      <c r="E419" s="169">
        <v>2017</v>
      </c>
      <c r="F419" s="14"/>
      <c r="G419" s="14"/>
      <c r="H419" s="14"/>
      <c r="I419" s="14"/>
      <c r="J419" s="14"/>
      <c r="K419" s="208"/>
    </row>
    <row r="420" spans="1:14" ht="15">
      <c r="A420" s="211"/>
      <c r="B420" s="205"/>
      <c r="C420" s="207"/>
      <c r="D420" s="208"/>
      <c r="E420" s="169">
        <v>2018</v>
      </c>
      <c r="F420" s="7">
        <f>SUM(G420:J420)</f>
        <v>0</v>
      </c>
      <c r="G420" s="7"/>
      <c r="H420" s="7"/>
      <c r="I420" s="7"/>
      <c r="J420" s="7">
        <v>0</v>
      </c>
      <c r="K420" s="208"/>
      <c r="L420" s="108"/>
    </row>
    <row r="421" spans="1:14" ht="15">
      <c r="A421" s="211"/>
      <c r="B421" s="205"/>
      <c r="C421" s="207"/>
      <c r="D421" s="208"/>
      <c r="E421" s="169">
        <v>2019</v>
      </c>
      <c r="F421" s="7">
        <f>SUM(G421:J421)</f>
        <v>0</v>
      </c>
      <c r="G421" s="7"/>
      <c r="H421" s="7"/>
      <c r="I421" s="7"/>
      <c r="J421" s="7">
        <v>0</v>
      </c>
      <c r="K421" s="208"/>
    </row>
    <row r="422" spans="1:14" ht="15">
      <c r="A422" s="211"/>
      <c r="B422" s="205"/>
      <c r="C422" s="207"/>
      <c r="D422" s="208"/>
      <c r="E422" s="169">
        <v>2020</v>
      </c>
      <c r="F422" s="7">
        <f>SUM(G422:J422)</f>
        <v>0</v>
      </c>
      <c r="G422" s="7"/>
      <c r="H422" s="7"/>
      <c r="I422" s="7"/>
      <c r="J422" s="7">
        <v>0</v>
      </c>
      <c r="K422" s="208"/>
    </row>
    <row r="423" spans="1:14" ht="15">
      <c r="A423" s="486"/>
      <c r="B423" s="243"/>
      <c r="C423" s="207"/>
      <c r="D423" s="208"/>
      <c r="E423" s="27" t="s">
        <v>18</v>
      </c>
      <c r="F423" s="9">
        <f>SUM(F420:F422)</f>
        <v>0</v>
      </c>
      <c r="G423" s="10"/>
      <c r="H423" s="10"/>
      <c r="I423" s="10"/>
      <c r="J423" s="9">
        <f>SUM(J417:J422)</f>
        <v>0</v>
      </c>
      <c r="K423" s="208"/>
    </row>
    <row r="424" spans="1:14" ht="15">
      <c r="A424" s="210" t="s">
        <v>124</v>
      </c>
      <c r="B424" s="484" t="s">
        <v>228</v>
      </c>
      <c r="C424" s="232" t="s">
        <v>68</v>
      </c>
      <c r="D424" s="201" t="s">
        <v>218</v>
      </c>
      <c r="E424" s="169">
        <v>2015</v>
      </c>
      <c r="F424" s="7">
        <f t="shared" ref="F424:F429" si="43">SUM(G424:I424)</f>
        <v>1364.4</v>
      </c>
      <c r="G424" s="7"/>
      <c r="H424" s="7"/>
      <c r="I424" s="7">
        <f>1322.4+30+12</f>
        <v>1364.4</v>
      </c>
      <c r="J424" s="14"/>
      <c r="K424" s="201" t="s">
        <v>138</v>
      </c>
    </row>
    <row r="425" spans="1:14" ht="15">
      <c r="A425" s="211"/>
      <c r="B425" s="266"/>
      <c r="C425" s="202"/>
      <c r="D425" s="208"/>
      <c r="E425" s="169">
        <v>2016</v>
      </c>
      <c r="F425" s="176">
        <f t="shared" si="43"/>
        <v>1322.4</v>
      </c>
      <c r="G425" s="7"/>
      <c r="H425" s="7"/>
      <c r="I425" s="7">
        <v>1322.4</v>
      </c>
      <c r="J425" s="14"/>
      <c r="K425" s="208"/>
    </row>
    <row r="426" spans="1:14" ht="15">
      <c r="A426" s="211"/>
      <c r="B426" s="266"/>
      <c r="C426" s="202"/>
      <c r="D426" s="208"/>
      <c r="E426" s="169">
        <v>2017</v>
      </c>
      <c r="F426" s="176">
        <f t="shared" si="43"/>
        <v>4988.3</v>
      </c>
      <c r="G426" s="7"/>
      <c r="H426" s="7"/>
      <c r="I426" s="7">
        <f>1338.3+3116.8+533.2</f>
        <v>4988.3</v>
      </c>
      <c r="J426" s="14"/>
      <c r="K426" s="208"/>
      <c r="L426" s="108" t="s">
        <v>369</v>
      </c>
      <c r="M426" s="114"/>
      <c r="N426" s="115" t="s">
        <v>368</v>
      </c>
    </row>
    <row r="427" spans="1:14" ht="15">
      <c r="A427" s="211"/>
      <c r="B427" s="266"/>
      <c r="C427" s="202"/>
      <c r="D427" s="208"/>
      <c r="E427" s="169">
        <v>2018</v>
      </c>
      <c r="F427" s="176">
        <f t="shared" si="43"/>
        <v>4385.6000000000004</v>
      </c>
      <c r="G427" s="7"/>
      <c r="H427" s="7"/>
      <c r="I427" s="7">
        <v>4385.6000000000004</v>
      </c>
      <c r="J427" s="14"/>
      <c r="K427" s="208"/>
      <c r="L427" s="108"/>
      <c r="M427" s="114"/>
      <c r="N427" s="115"/>
    </row>
    <row r="428" spans="1:14" ht="15">
      <c r="A428" s="211"/>
      <c r="B428" s="266"/>
      <c r="C428" s="202"/>
      <c r="D428" s="208"/>
      <c r="E428" s="169">
        <v>2019</v>
      </c>
      <c r="F428" s="176">
        <f t="shared" ref="F428" si="44">SUM(G428:I428)</f>
        <v>1279.8</v>
      </c>
      <c r="G428" s="7"/>
      <c r="H428" s="7"/>
      <c r="I428" s="7">
        <v>1279.8</v>
      </c>
      <c r="J428" s="14"/>
      <c r="K428" s="208"/>
      <c r="L428" s="108"/>
      <c r="M428" s="114"/>
      <c r="N428" s="115"/>
    </row>
    <row r="429" spans="1:14" ht="15">
      <c r="A429" s="211"/>
      <c r="B429" s="266"/>
      <c r="C429" s="202"/>
      <c r="D429" s="208"/>
      <c r="E429" s="169">
        <v>2020</v>
      </c>
      <c r="F429" s="176">
        <f t="shared" si="43"/>
        <v>114.9</v>
      </c>
      <c r="G429" s="7"/>
      <c r="H429" s="7"/>
      <c r="I429" s="7">
        <v>114.9</v>
      </c>
      <c r="J429" s="14"/>
      <c r="K429" s="208"/>
    </row>
    <row r="430" spans="1:14" ht="29.25" customHeight="1">
      <c r="A430" s="211"/>
      <c r="B430" s="266"/>
      <c r="C430" s="203"/>
      <c r="D430" s="209"/>
      <c r="E430" s="19" t="s">
        <v>18</v>
      </c>
      <c r="F430" s="8">
        <f>SUM(F424:F429)</f>
        <v>13455.4</v>
      </c>
      <c r="G430" s="7"/>
      <c r="H430" s="7"/>
      <c r="I430" s="8">
        <f>SUM(I424:I429)</f>
        <v>13455.4</v>
      </c>
      <c r="J430" s="14"/>
      <c r="K430" s="209"/>
    </row>
    <row r="431" spans="1:14" ht="15">
      <c r="A431" s="210" t="s">
        <v>125</v>
      </c>
      <c r="B431" s="484" t="s">
        <v>223</v>
      </c>
      <c r="C431" s="232" t="s">
        <v>68</v>
      </c>
      <c r="D431" s="201" t="s">
        <v>218</v>
      </c>
      <c r="E431" s="169">
        <v>2015</v>
      </c>
      <c r="F431" s="7">
        <f>H431+I431</f>
        <v>260.60000000000002</v>
      </c>
      <c r="G431" s="7"/>
      <c r="H431" s="7">
        <v>230</v>
      </c>
      <c r="I431" s="7">
        <v>30.6</v>
      </c>
      <c r="J431" s="14"/>
      <c r="K431" s="201" t="s">
        <v>164</v>
      </c>
    </row>
    <row r="432" spans="1:14" ht="15">
      <c r="A432" s="211"/>
      <c r="B432" s="266"/>
      <c r="C432" s="202"/>
      <c r="D432" s="208"/>
      <c r="E432" s="169">
        <v>2016</v>
      </c>
      <c r="F432" s="176"/>
      <c r="G432" s="7"/>
      <c r="H432" s="7"/>
      <c r="I432" s="7"/>
      <c r="J432" s="14"/>
      <c r="K432" s="208"/>
    </row>
    <row r="433" spans="1:35" ht="15">
      <c r="A433" s="211"/>
      <c r="B433" s="266"/>
      <c r="C433" s="202"/>
      <c r="D433" s="208"/>
      <c r="E433" s="169">
        <v>2017</v>
      </c>
      <c r="F433" s="176"/>
      <c r="G433" s="7"/>
      <c r="H433" s="7"/>
      <c r="I433" s="7"/>
      <c r="J433" s="14"/>
      <c r="K433" s="208"/>
    </row>
    <row r="434" spans="1:35" ht="15">
      <c r="A434" s="211"/>
      <c r="B434" s="266"/>
      <c r="C434" s="202"/>
      <c r="D434" s="208"/>
      <c r="E434" s="169">
        <v>2018</v>
      </c>
      <c r="F434" s="176"/>
      <c r="G434" s="7"/>
      <c r="H434" s="7"/>
      <c r="I434" s="7"/>
      <c r="J434" s="14"/>
      <c r="K434" s="208"/>
    </row>
    <row r="435" spans="1:35" ht="15">
      <c r="A435" s="211"/>
      <c r="B435" s="266"/>
      <c r="C435" s="202"/>
      <c r="D435" s="208"/>
      <c r="E435" s="169">
        <v>2019</v>
      </c>
      <c r="F435" s="176"/>
      <c r="G435" s="7"/>
      <c r="H435" s="7"/>
      <c r="I435" s="7"/>
      <c r="J435" s="14"/>
      <c r="K435" s="208"/>
    </row>
    <row r="436" spans="1:35" ht="15">
      <c r="A436" s="211"/>
      <c r="B436" s="266"/>
      <c r="C436" s="202"/>
      <c r="D436" s="208"/>
      <c r="E436" s="169">
        <v>2020</v>
      </c>
      <c r="F436" s="176"/>
      <c r="G436" s="7"/>
      <c r="H436" s="7"/>
      <c r="I436" s="7"/>
      <c r="J436" s="14"/>
      <c r="K436" s="208"/>
    </row>
    <row r="437" spans="1:35" ht="15">
      <c r="A437" s="211"/>
      <c r="B437" s="266"/>
      <c r="C437" s="203"/>
      <c r="D437" s="209"/>
      <c r="E437" s="19" t="s">
        <v>18</v>
      </c>
      <c r="F437" s="8">
        <f>SUM(F431:F436)</f>
        <v>260.60000000000002</v>
      </c>
      <c r="G437" s="7"/>
      <c r="H437" s="8">
        <f>H436+H435+H434+H433+H431+H432</f>
        <v>230</v>
      </c>
      <c r="I437" s="8">
        <f>SUM(I431:I436)</f>
        <v>30.6</v>
      </c>
      <c r="J437" s="14"/>
      <c r="K437" s="209"/>
    </row>
    <row r="438" spans="1:35" ht="15" customHeight="1">
      <c r="A438" s="229" t="s">
        <v>298</v>
      </c>
      <c r="B438" s="230" t="s">
        <v>248</v>
      </c>
      <c r="C438" s="233" t="s">
        <v>224</v>
      </c>
      <c r="D438" s="208" t="s">
        <v>218</v>
      </c>
      <c r="E438" s="165">
        <v>2016</v>
      </c>
      <c r="F438" s="7">
        <f t="shared" ref="F438:F445" si="45">G438+H438+I438</f>
        <v>445</v>
      </c>
      <c r="G438" s="189"/>
      <c r="H438" s="189"/>
      <c r="I438" s="190">
        <v>445</v>
      </c>
      <c r="J438" s="100"/>
      <c r="K438" s="208" t="s">
        <v>140</v>
      </c>
    </row>
    <row r="439" spans="1:35" ht="12.75" customHeight="1">
      <c r="A439" s="229"/>
      <c r="B439" s="231"/>
      <c r="C439" s="233"/>
      <c r="D439" s="208"/>
      <c r="E439" s="169">
        <v>2017</v>
      </c>
      <c r="F439" s="7">
        <f t="shared" si="45"/>
        <v>480.6</v>
      </c>
      <c r="G439" s="9"/>
      <c r="H439" s="9"/>
      <c r="I439" s="10">
        <v>480.6</v>
      </c>
      <c r="J439" s="23"/>
      <c r="K439" s="208"/>
      <c r="L439" s="108"/>
      <c r="O439" s="108"/>
    </row>
    <row r="440" spans="1:35" ht="15" customHeight="1">
      <c r="A440" s="229"/>
      <c r="B440" s="231"/>
      <c r="C440" s="233"/>
      <c r="D440" s="208"/>
      <c r="E440" s="169">
        <v>2018</v>
      </c>
      <c r="F440" s="7">
        <f t="shared" si="45"/>
        <v>480.6</v>
      </c>
      <c r="G440" s="9"/>
      <c r="H440" s="9"/>
      <c r="I440" s="10">
        <v>480.6</v>
      </c>
      <c r="J440" s="23"/>
      <c r="K440" s="208"/>
      <c r="L440" s="108"/>
    </row>
    <row r="441" spans="1:35" ht="13.5" customHeight="1">
      <c r="A441" s="229"/>
      <c r="B441" s="231"/>
      <c r="C441" s="233"/>
      <c r="D441" s="208"/>
      <c r="E441" s="169">
        <v>2019</v>
      </c>
      <c r="F441" s="190">
        <f t="shared" si="45"/>
        <v>480.6</v>
      </c>
      <c r="G441" s="9"/>
      <c r="H441" s="9"/>
      <c r="I441" s="10">
        <v>480.6</v>
      </c>
      <c r="J441" s="23"/>
      <c r="K441" s="208"/>
      <c r="L441" s="108"/>
    </row>
    <row r="442" spans="1:35" ht="12.75" customHeight="1">
      <c r="A442" s="229"/>
      <c r="B442" s="231"/>
      <c r="C442" s="233"/>
      <c r="D442" s="208"/>
      <c r="E442" s="169">
        <v>2020</v>
      </c>
      <c r="F442" s="10">
        <f t="shared" si="45"/>
        <v>0</v>
      </c>
      <c r="G442" s="10"/>
      <c r="H442" s="10"/>
      <c r="I442" s="10">
        <v>0</v>
      </c>
      <c r="J442" s="23"/>
      <c r="K442" s="208"/>
    </row>
    <row r="443" spans="1:35" ht="21" customHeight="1">
      <c r="A443" s="291"/>
      <c r="B443" s="215"/>
      <c r="C443" s="240"/>
      <c r="D443" s="209"/>
      <c r="E443" s="27" t="s">
        <v>18</v>
      </c>
      <c r="F443" s="9">
        <f t="shared" si="45"/>
        <v>1886.8000000000002</v>
      </c>
      <c r="G443" s="9"/>
      <c r="H443" s="9"/>
      <c r="I443" s="9">
        <f>SUM(I438:I442)</f>
        <v>1886.8000000000002</v>
      </c>
      <c r="J443" s="23"/>
      <c r="K443" s="209"/>
    </row>
    <row r="444" spans="1:35" ht="15" customHeight="1">
      <c r="A444" s="229" t="s">
        <v>299</v>
      </c>
      <c r="B444" s="230" t="s">
        <v>269</v>
      </c>
      <c r="C444" s="233" t="s">
        <v>224</v>
      </c>
      <c r="D444" s="208" t="s">
        <v>218</v>
      </c>
      <c r="E444" s="169">
        <v>2017</v>
      </c>
      <c r="F444" s="7">
        <f t="shared" si="45"/>
        <v>1169.2</v>
      </c>
      <c r="G444" s="8"/>
      <c r="H444" s="8"/>
      <c r="I444" s="7">
        <v>1169.2</v>
      </c>
      <c r="J444" s="14"/>
      <c r="K444" s="208" t="s">
        <v>270</v>
      </c>
      <c r="L444" s="108"/>
    </row>
    <row r="445" spans="1:35" ht="52.5" customHeight="1" thickBot="1">
      <c r="A445" s="291"/>
      <c r="B445" s="215"/>
      <c r="C445" s="240"/>
      <c r="D445" s="209"/>
      <c r="E445" s="27" t="s">
        <v>18</v>
      </c>
      <c r="F445" s="9">
        <f t="shared" si="45"/>
        <v>1169.2</v>
      </c>
      <c r="G445" s="9"/>
      <c r="H445" s="9"/>
      <c r="I445" s="9">
        <f>SUM(I444:I444)</f>
        <v>1169.2</v>
      </c>
      <c r="J445" s="23"/>
      <c r="K445" s="209"/>
    </row>
    <row r="446" spans="1:35" ht="13.5" customHeight="1" thickBot="1">
      <c r="A446" s="367" t="s">
        <v>184</v>
      </c>
      <c r="B446" s="429"/>
      <c r="C446" s="429"/>
      <c r="D446" s="430"/>
      <c r="E446" s="6" t="s">
        <v>61</v>
      </c>
      <c r="F446" s="180">
        <f>SUM(G446:J446)</f>
        <v>293094.39999999997</v>
      </c>
      <c r="G446" s="181">
        <f>G408+G416+G423+G430</f>
        <v>0</v>
      </c>
      <c r="H446" s="180">
        <f>H408+H416+H423+H430+H399+H437+H443+H445</f>
        <v>230</v>
      </c>
      <c r="I446" s="180">
        <f>I408+I416+I423+I430+I399+I437+I443+I445</f>
        <v>292864.39999999997</v>
      </c>
      <c r="J446" s="180">
        <f>J408+J416+J423+J430+J399</f>
        <v>0</v>
      </c>
      <c r="K446" s="6"/>
      <c r="L446" s="138"/>
      <c r="M446" s="139"/>
      <c r="N446" s="67"/>
    </row>
    <row r="447" spans="1:35" ht="32.25" customHeight="1" thickBot="1">
      <c r="A447" s="241" t="s">
        <v>73</v>
      </c>
      <c r="B447" s="205"/>
      <c r="C447" s="205"/>
      <c r="D447" s="205"/>
      <c r="E447" s="205"/>
      <c r="F447" s="205"/>
      <c r="G447" s="205"/>
      <c r="H447" s="205"/>
      <c r="I447" s="205"/>
      <c r="J447" s="205"/>
      <c r="K447" s="205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9"/>
    </row>
    <row r="448" spans="1:35" ht="17.25" customHeight="1" thickBot="1">
      <c r="A448" s="242" t="s">
        <v>74</v>
      </c>
      <c r="B448" s="243"/>
      <c r="C448" s="243"/>
      <c r="D448" s="243"/>
      <c r="E448" s="243"/>
      <c r="F448" s="243"/>
      <c r="G448" s="243"/>
      <c r="H448" s="243"/>
      <c r="I448" s="243"/>
      <c r="J448" s="243"/>
      <c r="K448" s="243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6"/>
    </row>
    <row r="449" spans="1:12" ht="12.75" customHeight="1">
      <c r="A449" s="399" t="s">
        <v>93</v>
      </c>
      <c r="B449" s="396" t="s">
        <v>165</v>
      </c>
      <c r="C449" s="232" t="s">
        <v>68</v>
      </c>
      <c r="D449" s="201" t="s">
        <v>218</v>
      </c>
      <c r="E449" s="169">
        <v>2015</v>
      </c>
      <c r="F449" s="191">
        <f t="shared" ref="F449:F454" si="46">SUM(G449:I449)</f>
        <v>25</v>
      </c>
      <c r="G449" s="7"/>
      <c r="H449" s="7"/>
      <c r="I449" s="7">
        <v>25</v>
      </c>
      <c r="J449" s="14"/>
      <c r="K449" s="201" t="s">
        <v>167</v>
      </c>
    </row>
    <row r="450" spans="1:12" ht="15">
      <c r="A450" s="400"/>
      <c r="B450" s="397"/>
      <c r="C450" s="202"/>
      <c r="D450" s="202"/>
      <c r="E450" s="169">
        <v>2016</v>
      </c>
      <c r="F450" s="191">
        <f t="shared" si="46"/>
        <v>23.6</v>
      </c>
      <c r="G450" s="7"/>
      <c r="H450" s="7"/>
      <c r="I450" s="7">
        <f>26.3-2.7</f>
        <v>23.6</v>
      </c>
      <c r="J450" s="14"/>
      <c r="K450" s="208"/>
    </row>
    <row r="451" spans="1:12" ht="15">
      <c r="A451" s="400"/>
      <c r="B451" s="397"/>
      <c r="C451" s="202"/>
      <c r="D451" s="202"/>
      <c r="E451" s="169">
        <v>2017</v>
      </c>
      <c r="F451" s="191">
        <f t="shared" si="46"/>
        <v>27</v>
      </c>
      <c r="G451" s="7"/>
      <c r="H451" s="7"/>
      <c r="I451" s="7">
        <v>27</v>
      </c>
      <c r="J451" s="14"/>
      <c r="K451" s="208"/>
      <c r="L451" s="108"/>
    </row>
    <row r="452" spans="1:12" ht="15">
      <c r="A452" s="400"/>
      <c r="B452" s="397"/>
      <c r="C452" s="202"/>
      <c r="D452" s="202"/>
      <c r="E452" s="169">
        <v>2018</v>
      </c>
      <c r="F452" s="191">
        <f t="shared" si="46"/>
        <v>27.9</v>
      </c>
      <c r="G452" s="7"/>
      <c r="H452" s="7"/>
      <c r="I452" s="7">
        <v>27.9</v>
      </c>
      <c r="J452" s="14"/>
      <c r="K452" s="208"/>
      <c r="L452" s="108"/>
    </row>
    <row r="453" spans="1:12" ht="15">
      <c r="A453" s="400"/>
      <c r="B453" s="397"/>
      <c r="C453" s="202"/>
      <c r="D453" s="202"/>
      <c r="E453" s="169">
        <v>2019</v>
      </c>
      <c r="F453" s="191">
        <f t="shared" si="46"/>
        <v>29</v>
      </c>
      <c r="G453" s="7"/>
      <c r="H453" s="7"/>
      <c r="I453" s="7">
        <v>29</v>
      </c>
      <c r="J453" s="14"/>
      <c r="K453" s="208"/>
      <c r="L453" s="108"/>
    </row>
    <row r="454" spans="1:12" ht="15">
      <c r="A454" s="400"/>
      <c r="B454" s="397"/>
      <c r="C454" s="202"/>
      <c r="D454" s="202"/>
      <c r="E454" s="169">
        <v>2020</v>
      </c>
      <c r="F454" s="191">
        <f t="shared" si="46"/>
        <v>0</v>
      </c>
      <c r="G454" s="8"/>
      <c r="H454" s="8"/>
      <c r="I454" s="7">
        <v>0</v>
      </c>
      <c r="J454" s="13"/>
      <c r="K454" s="208"/>
    </row>
    <row r="455" spans="1:12" ht="14.25">
      <c r="A455" s="401"/>
      <c r="B455" s="398"/>
      <c r="C455" s="202"/>
      <c r="D455" s="203"/>
      <c r="E455" s="19" t="s">
        <v>18</v>
      </c>
      <c r="F455" s="152">
        <f>SUM(F449:F454)</f>
        <v>132.5</v>
      </c>
      <c r="G455" s="8"/>
      <c r="H455" s="8"/>
      <c r="I455" s="8">
        <f>SUM(I449:I454)</f>
        <v>132.5</v>
      </c>
      <c r="J455" s="13"/>
      <c r="K455" s="208"/>
    </row>
    <row r="456" spans="1:12" ht="15">
      <c r="A456" s="399" t="s">
        <v>67</v>
      </c>
      <c r="B456" s="396" t="s">
        <v>229</v>
      </c>
      <c r="C456" s="206" t="s">
        <v>68</v>
      </c>
      <c r="D456" s="201" t="s">
        <v>218</v>
      </c>
      <c r="E456" s="169">
        <v>2015</v>
      </c>
      <c r="F456" s="191">
        <f t="shared" ref="F456:F461" si="47">SUM(G456:I456)</f>
        <v>15</v>
      </c>
      <c r="G456" s="7"/>
      <c r="H456" s="7"/>
      <c r="I456" s="7">
        <v>15</v>
      </c>
      <c r="J456" s="14"/>
      <c r="K456" s="208"/>
    </row>
    <row r="457" spans="1:12" ht="15">
      <c r="A457" s="400"/>
      <c r="B457" s="397"/>
      <c r="C457" s="207"/>
      <c r="D457" s="202"/>
      <c r="E457" s="169">
        <v>2016</v>
      </c>
      <c r="F457" s="191">
        <f t="shared" si="47"/>
        <v>15</v>
      </c>
      <c r="G457" s="7"/>
      <c r="H457" s="7"/>
      <c r="I457" s="7">
        <f>16-1</f>
        <v>15</v>
      </c>
      <c r="J457" s="14"/>
      <c r="K457" s="208"/>
    </row>
    <row r="458" spans="1:12" ht="15">
      <c r="A458" s="400"/>
      <c r="B458" s="397"/>
      <c r="C458" s="207"/>
      <c r="D458" s="202"/>
      <c r="E458" s="169">
        <v>2017</v>
      </c>
      <c r="F458" s="191">
        <f t="shared" si="47"/>
        <v>16</v>
      </c>
      <c r="G458" s="7"/>
      <c r="H458" s="7"/>
      <c r="I458" s="7">
        <v>16</v>
      </c>
      <c r="J458" s="14"/>
      <c r="K458" s="208"/>
      <c r="L458" s="108"/>
    </row>
    <row r="459" spans="1:12" ht="15">
      <c r="A459" s="400"/>
      <c r="B459" s="397"/>
      <c r="C459" s="207"/>
      <c r="D459" s="202"/>
      <c r="E459" s="169">
        <v>2018</v>
      </c>
      <c r="F459" s="191">
        <f t="shared" si="47"/>
        <v>19.5</v>
      </c>
      <c r="G459" s="7"/>
      <c r="H459" s="7"/>
      <c r="I459" s="7">
        <v>19.5</v>
      </c>
      <c r="J459" s="14"/>
      <c r="K459" s="208"/>
      <c r="L459" s="108"/>
    </row>
    <row r="460" spans="1:12" ht="15">
      <c r="A460" s="400"/>
      <c r="B460" s="397"/>
      <c r="C460" s="207"/>
      <c r="D460" s="202"/>
      <c r="E460" s="169">
        <v>2019</v>
      </c>
      <c r="F460" s="191">
        <f t="shared" si="47"/>
        <v>20.5</v>
      </c>
      <c r="G460" s="7"/>
      <c r="H460" s="7"/>
      <c r="I460" s="7">
        <v>20.5</v>
      </c>
      <c r="J460" s="14"/>
      <c r="K460" s="208"/>
      <c r="L460" s="108"/>
    </row>
    <row r="461" spans="1:12" ht="15">
      <c r="A461" s="400"/>
      <c r="B461" s="397"/>
      <c r="C461" s="207"/>
      <c r="D461" s="202"/>
      <c r="E461" s="169">
        <v>2020</v>
      </c>
      <c r="F461" s="191">
        <f t="shared" si="47"/>
        <v>0</v>
      </c>
      <c r="G461" s="8"/>
      <c r="H461" s="8"/>
      <c r="I461" s="7">
        <v>0</v>
      </c>
      <c r="J461" s="13"/>
      <c r="K461" s="208"/>
    </row>
    <row r="462" spans="1:12" ht="14.25">
      <c r="A462" s="401"/>
      <c r="B462" s="398"/>
      <c r="C462" s="207"/>
      <c r="D462" s="203"/>
      <c r="E462" s="19" t="s">
        <v>18</v>
      </c>
      <c r="F462" s="152">
        <f>SUM(F456:F461)</f>
        <v>86</v>
      </c>
      <c r="G462" s="8"/>
      <c r="H462" s="8"/>
      <c r="I462" s="8">
        <f>SUM(I456:I461)</f>
        <v>86</v>
      </c>
      <c r="J462" s="13"/>
      <c r="K462" s="209"/>
    </row>
    <row r="463" spans="1:12" ht="14.25">
      <c r="A463" s="241" t="s">
        <v>75</v>
      </c>
      <c r="B463" s="205"/>
      <c r="C463" s="395"/>
      <c r="D463" s="205"/>
      <c r="E463" s="205"/>
      <c r="F463" s="205"/>
      <c r="G463" s="205"/>
      <c r="H463" s="205"/>
      <c r="I463" s="205"/>
      <c r="J463" s="205"/>
      <c r="K463" s="205"/>
    </row>
    <row r="464" spans="1:12" ht="15">
      <c r="A464" s="391" t="s">
        <v>43</v>
      </c>
      <c r="B464" s="394" t="s">
        <v>134</v>
      </c>
      <c r="C464" s="232" t="s">
        <v>68</v>
      </c>
      <c r="D464" s="201" t="s">
        <v>218</v>
      </c>
      <c r="E464" s="169">
        <v>2015</v>
      </c>
      <c r="F464" s="191">
        <f t="shared" ref="F464:F469" si="48">SUM(G464:I464)</f>
        <v>10</v>
      </c>
      <c r="G464" s="7"/>
      <c r="H464" s="7"/>
      <c r="I464" s="7">
        <v>10</v>
      </c>
      <c r="J464" s="14"/>
      <c r="K464" s="201" t="s">
        <v>166</v>
      </c>
    </row>
    <row r="465" spans="1:13" ht="15">
      <c r="A465" s="392"/>
      <c r="B465" s="327"/>
      <c r="C465" s="202"/>
      <c r="D465" s="202"/>
      <c r="E465" s="169">
        <v>2016</v>
      </c>
      <c r="F465" s="191">
        <f t="shared" si="48"/>
        <v>7.7</v>
      </c>
      <c r="G465" s="7"/>
      <c r="H465" s="7"/>
      <c r="I465" s="7">
        <f>11-3.3</f>
        <v>7.7</v>
      </c>
      <c r="J465" s="14"/>
      <c r="K465" s="208"/>
      <c r="L465" s="108"/>
    </row>
    <row r="466" spans="1:13" ht="15">
      <c r="A466" s="392"/>
      <c r="B466" s="327"/>
      <c r="C466" s="202"/>
      <c r="D466" s="202"/>
      <c r="E466" s="169">
        <v>2017</v>
      </c>
      <c r="F466" s="191">
        <f t="shared" si="48"/>
        <v>8.6999999999999993</v>
      </c>
      <c r="G466" s="7"/>
      <c r="H466" s="7"/>
      <c r="I466" s="7">
        <v>8.6999999999999993</v>
      </c>
      <c r="J466" s="14"/>
      <c r="K466" s="208"/>
      <c r="L466" s="108"/>
    </row>
    <row r="467" spans="1:13" ht="15">
      <c r="A467" s="392"/>
      <c r="B467" s="327"/>
      <c r="C467" s="202"/>
      <c r="D467" s="202"/>
      <c r="E467" s="169">
        <v>2018</v>
      </c>
      <c r="F467" s="191">
        <f t="shared" si="48"/>
        <v>13</v>
      </c>
      <c r="G467" s="7"/>
      <c r="H467" s="7"/>
      <c r="I467" s="7">
        <v>13</v>
      </c>
      <c r="J467" s="14"/>
      <c r="K467" s="208"/>
      <c r="L467" s="108"/>
    </row>
    <row r="468" spans="1:13" ht="15">
      <c r="A468" s="392"/>
      <c r="B468" s="327"/>
      <c r="C468" s="202"/>
      <c r="D468" s="202"/>
      <c r="E468" s="169">
        <v>2019</v>
      </c>
      <c r="F468" s="191">
        <f t="shared" si="48"/>
        <v>14</v>
      </c>
      <c r="G468" s="7"/>
      <c r="H468" s="7"/>
      <c r="I468" s="7">
        <v>14</v>
      </c>
      <c r="J468" s="14"/>
      <c r="K468" s="208"/>
      <c r="L468" s="108"/>
    </row>
    <row r="469" spans="1:13" ht="15">
      <c r="A469" s="392"/>
      <c r="B469" s="327"/>
      <c r="C469" s="202"/>
      <c r="D469" s="202"/>
      <c r="E469" s="169">
        <v>2020</v>
      </c>
      <c r="F469" s="191">
        <f t="shared" si="48"/>
        <v>0</v>
      </c>
      <c r="G469" s="7"/>
      <c r="H469" s="7"/>
      <c r="I469" s="7">
        <v>0</v>
      </c>
      <c r="J469" s="14"/>
      <c r="K469" s="208"/>
    </row>
    <row r="470" spans="1:13" ht="18" customHeight="1" thickBot="1">
      <c r="A470" s="393"/>
      <c r="B470" s="314"/>
      <c r="C470" s="202"/>
      <c r="D470" s="202"/>
      <c r="E470" s="27" t="s">
        <v>18</v>
      </c>
      <c r="F470" s="180">
        <f>SUM(F464:F469)</f>
        <v>53.4</v>
      </c>
      <c r="G470" s="9"/>
      <c r="H470" s="9"/>
      <c r="I470" s="9">
        <f>SUM(I464:I469)</f>
        <v>53.4</v>
      </c>
      <c r="J470" s="23"/>
      <c r="K470" s="208"/>
      <c r="L470" s="135"/>
      <c r="M470" s="136"/>
    </row>
    <row r="471" spans="1:13" ht="18" customHeight="1" thickBot="1">
      <c r="A471" s="402" t="s">
        <v>195</v>
      </c>
      <c r="B471" s="403"/>
      <c r="C471" s="403"/>
      <c r="D471" s="403"/>
      <c r="E471" s="102" t="s">
        <v>61</v>
      </c>
      <c r="F471" s="183">
        <f>F455+F470+F462</f>
        <v>271.89999999999998</v>
      </c>
      <c r="G471" s="183"/>
      <c r="H471" s="183">
        <f>H455+H470+H462</f>
        <v>0</v>
      </c>
      <c r="I471" s="183">
        <f>I455+I470+I462</f>
        <v>271.89999999999998</v>
      </c>
      <c r="J471" s="103"/>
      <c r="K471" s="104"/>
    </row>
    <row r="472" spans="1:13" ht="15" thickBot="1">
      <c r="A472" s="310" t="s">
        <v>196</v>
      </c>
      <c r="B472" s="311"/>
      <c r="C472" s="311"/>
      <c r="D472" s="311"/>
      <c r="E472" s="311"/>
      <c r="F472" s="311"/>
      <c r="G472" s="311"/>
      <c r="H472" s="311"/>
      <c r="I472" s="311"/>
      <c r="J472" s="311"/>
      <c r="K472" s="312"/>
    </row>
    <row r="473" spans="1:13" ht="14.25">
      <c r="A473" s="316" t="s">
        <v>76</v>
      </c>
      <c r="B473" s="317"/>
      <c r="C473" s="317"/>
      <c r="D473" s="317"/>
      <c r="E473" s="318"/>
      <c r="F473" s="318"/>
      <c r="G473" s="318"/>
      <c r="H473" s="318"/>
      <c r="I473" s="318"/>
      <c r="J473" s="318"/>
      <c r="K473" s="319"/>
    </row>
    <row r="474" spans="1:13" ht="15">
      <c r="A474" s="320" t="s">
        <v>77</v>
      </c>
      <c r="B474" s="204" t="s">
        <v>78</v>
      </c>
      <c r="C474" s="232" t="s">
        <v>68</v>
      </c>
      <c r="D474" s="201" t="s">
        <v>218</v>
      </c>
      <c r="E474" s="169">
        <v>2015</v>
      </c>
      <c r="F474" s="191">
        <f t="shared" ref="F474:F479" si="49">SUM(G474:I474)</f>
        <v>50</v>
      </c>
      <c r="G474" s="7"/>
      <c r="H474" s="7"/>
      <c r="I474" s="7">
        <v>50</v>
      </c>
      <c r="J474" s="14"/>
      <c r="K474" s="201" t="s">
        <v>169</v>
      </c>
    </row>
    <row r="475" spans="1:13" ht="15">
      <c r="A475" s="321"/>
      <c r="B475" s="205"/>
      <c r="C475" s="202"/>
      <c r="D475" s="202"/>
      <c r="E475" s="169">
        <v>2016</v>
      </c>
      <c r="F475" s="191">
        <f t="shared" si="49"/>
        <v>83</v>
      </c>
      <c r="G475" s="7"/>
      <c r="H475" s="7"/>
      <c r="I475" s="7">
        <f>60+23</f>
        <v>83</v>
      </c>
      <c r="J475" s="14"/>
      <c r="K475" s="208"/>
      <c r="L475" s="108"/>
    </row>
    <row r="476" spans="1:13" ht="15">
      <c r="A476" s="321"/>
      <c r="B476" s="205"/>
      <c r="C476" s="202"/>
      <c r="D476" s="202"/>
      <c r="E476" s="169">
        <v>2017</v>
      </c>
      <c r="F476" s="191">
        <f t="shared" si="49"/>
        <v>70</v>
      </c>
      <c r="G476" s="7"/>
      <c r="H476" s="7"/>
      <c r="I476" s="7">
        <v>70</v>
      </c>
      <c r="J476" s="14"/>
      <c r="K476" s="208"/>
      <c r="L476" s="108"/>
    </row>
    <row r="477" spans="1:13" ht="15">
      <c r="A477" s="321"/>
      <c r="B477" s="205"/>
      <c r="C477" s="202"/>
      <c r="D477" s="202"/>
      <c r="E477" s="169">
        <v>2018</v>
      </c>
      <c r="F477" s="191">
        <f t="shared" si="49"/>
        <v>96.2</v>
      </c>
      <c r="G477" s="7"/>
      <c r="H477" s="7"/>
      <c r="I477" s="7">
        <v>96.2</v>
      </c>
      <c r="J477" s="14"/>
      <c r="K477" s="208"/>
      <c r="L477" s="108"/>
    </row>
    <row r="478" spans="1:13" ht="15">
      <c r="A478" s="321"/>
      <c r="B478" s="205"/>
      <c r="C478" s="202"/>
      <c r="D478" s="202"/>
      <c r="E478" s="169">
        <v>2019</v>
      </c>
      <c r="F478" s="191">
        <f t="shared" si="49"/>
        <v>90</v>
      </c>
      <c r="G478" s="7"/>
      <c r="H478" s="7"/>
      <c r="I478" s="7">
        <v>90</v>
      </c>
      <c r="J478" s="14"/>
      <c r="K478" s="208"/>
      <c r="L478" s="108"/>
    </row>
    <row r="479" spans="1:13" ht="15">
      <c r="A479" s="321"/>
      <c r="B479" s="205"/>
      <c r="C479" s="202"/>
      <c r="D479" s="202"/>
      <c r="E479" s="169">
        <v>2020</v>
      </c>
      <c r="F479" s="191">
        <f t="shared" si="49"/>
        <v>100</v>
      </c>
      <c r="G479" s="7"/>
      <c r="H479" s="7"/>
      <c r="I479" s="7">
        <v>100</v>
      </c>
      <c r="J479" s="14"/>
      <c r="K479" s="208"/>
    </row>
    <row r="480" spans="1:13" ht="14.25">
      <c r="A480" s="321"/>
      <c r="B480" s="243"/>
      <c r="C480" s="202"/>
      <c r="D480" s="203"/>
      <c r="E480" s="27" t="s">
        <v>18</v>
      </c>
      <c r="F480" s="152">
        <f>SUM(F474:F479)</f>
        <v>489.2</v>
      </c>
      <c r="G480" s="8"/>
      <c r="H480" s="8"/>
      <c r="I480" s="8">
        <f>SUM(I474:I479)</f>
        <v>489.2</v>
      </c>
      <c r="J480" s="14"/>
      <c r="K480" s="208"/>
    </row>
    <row r="481" spans="1:12" ht="15">
      <c r="A481" s="320" t="s">
        <v>79</v>
      </c>
      <c r="B481" s="204" t="s">
        <v>80</v>
      </c>
      <c r="C481" s="206" t="s">
        <v>68</v>
      </c>
      <c r="D481" s="201" t="s">
        <v>218</v>
      </c>
      <c r="E481" s="169">
        <v>2015</v>
      </c>
      <c r="F481" s="192">
        <f t="shared" ref="F481:F486" si="50">SUM(G481:I481)</f>
        <v>150</v>
      </c>
      <c r="G481" s="7"/>
      <c r="H481" s="7"/>
      <c r="I481" s="7">
        <v>150</v>
      </c>
      <c r="J481" s="14"/>
      <c r="K481" s="208"/>
    </row>
    <row r="482" spans="1:12" ht="15">
      <c r="A482" s="321"/>
      <c r="B482" s="204"/>
      <c r="C482" s="207"/>
      <c r="D482" s="202"/>
      <c r="E482" s="169">
        <v>2016</v>
      </c>
      <c r="F482" s="192">
        <f t="shared" si="50"/>
        <v>180</v>
      </c>
      <c r="G482" s="7"/>
      <c r="H482" s="7"/>
      <c r="I482" s="7">
        <v>180</v>
      </c>
      <c r="J482" s="14"/>
      <c r="K482" s="208"/>
    </row>
    <row r="483" spans="1:12" ht="15">
      <c r="A483" s="321"/>
      <c r="B483" s="204"/>
      <c r="C483" s="207"/>
      <c r="D483" s="202"/>
      <c r="E483" s="169">
        <v>2017</v>
      </c>
      <c r="F483" s="192">
        <f t="shared" si="50"/>
        <v>0</v>
      </c>
      <c r="G483" s="7"/>
      <c r="H483" s="7"/>
      <c r="I483" s="7">
        <v>0</v>
      </c>
      <c r="J483" s="14"/>
      <c r="K483" s="208"/>
      <c r="L483" s="108"/>
    </row>
    <row r="484" spans="1:12" ht="15">
      <c r="A484" s="321"/>
      <c r="B484" s="204"/>
      <c r="C484" s="207"/>
      <c r="D484" s="202"/>
      <c r="E484" s="169">
        <v>2018</v>
      </c>
      <c r="F484" s="192">
        <f t="shared" si="50"/>
        <v>0</v>
      </c>
      <c r="G484" s="7"/>
      <c r="H484" s="7"/>
      <c r="I484" s="7">
        <v>0</v>
      </c>
      <c r="J484" s="14"/>
      <c r="K484" s="208"/>
      <c r="L484" s="108"/>
    </row>
    <row r="485" spans="1:12" ht="15">
      <c r="A485" s="321"/>
      <c r="B485" s="204"/>
      <c r="C485" s="207"/>
      <c r="D485" s="202"/>
      <c r="E485" s="169">
        <v>2019</v>
      </c>
      <c r="F485" s="192">
        <f t="shared" si="50"/>
        <v>0</v>
      </c>
      <c r="G485" s="7"/>
      <c r="H485" s="7"/>
      <c r="I485" s="7">
        <v>0</v>
      </c>
      <c r="J485" s="14"/>
      <c r="K485" s="208"/>
      <c r="L485" s="108"/>
    </row>
    <row r="486" spans="1:12" ht="15">
      <c r="A486" s="321"/>
      <c r="B486" s="204"/>
      <c r="C486" s="207"/>
      <c r="D486" s="202"/>
      <c r="E486" s="169">
        <v>2020</v>
      </c>
      <c r="F486" s="192">
        <f t="shared" si="50"/>
        <v>0</v>
      </c>
      <c r="G486" s="7"/>
      <c r="H486" s="7"/>
      <c r="I486" s="7">
        <v>0</v>
      </c>
      <c r="J486" s="14"/>
      <c r="K486" s="208"/>
    </row>
    <row r="487" spans="1:12" ht="32.25" customHeight="1">
      <c r="A487" s="321"/>
      <c r="B487" s="243"/>
      <c r="C487" s="207"/>
      <c r="D487" s="203"/>
      <c r="E487" s="19" t="s">
        <v>18</v>
      </c>
      <c r="F487" s="193">
        <f>SUM(F481:F486)</f>
        <v>330</v>
      </c>
      <c r="G487" s="8"/>
      <c r="H487" s="8"/>
      <c r="I487" s="8">
        <f>SUM(I481:I486)</f>
        <v>330</v>
      </c>
      <c r="J487" s="14"/>
      <c r="K487" s="208"/>
    </row>
    <row r="488" spans="1:12" ht="15">
      <c r="A488" s="320" t="s">
        <v>81</v>
      </c>
      <c r="B488" s="204" t="s">
        <v>168</v>
      </c>
      <c r="C488" s="233" t="s">
        <v>68</v>
      </c>
      <c r="D488" s="201" t="s">
        <v>218</v>
      </c>
      <c r="E488" s="169">
        <v>2015</v>
      </c>
      <c r="F488" s="192">
        <f t="shared" ref="F488:F493" si="51">SUM(G488:I488)</f>
        <v>55</v>
      </c>
      <c r="G488" s="7"/>
      <c r="H488" s="7"/>
      <c r="I488" s="7">
        <v>55</v>
      </c>
      <c r="J488" s="14"/>
      <c r="K488" s="208"/>
    </row>
    <row r="489" spans="1:12" ht="15">
      <c r="A489" s="321"/>
      <c r="B489" s="204"/>
      <c r="C489" s="202"/>
      <c r="D489" s="202"/>
      <c r="E489" s="169">
        <v>2016</v>
      </c>
      <c r="F489" s="192">
        <f t="shared" si="51"/>
        <v>57.4</v>
      </c>
      <c r="G489" s="7"/>
      <c r="H489" s="7"/>
      <c r="I489" s="7">
        <f>60-2.6</f>
        <v>57.4</v>
      </c>
      <c r="J489" s="14"/>
      <c r="K489" s="208"/>
      <c r="L489" s="108"/>
    </row>
    <row r="490" spans="1:12" ht="15">
      <c r="A490" s="321"/>
      <c r="B490" s="204"/>
      <c r="C490" s="202"/>
      <c r="D490" s="202"/>
      <c r="E490" s="169">
        <v>2017</v>
      </c>
      <c r="F490" s="192">
        <f t="shared" si="51"/>
        <v>65</v>
      </c>
      <c r="G490" s="7"/>
      <c r="H490" s="7"/>
      <c r="I490" s="7">
        <v>65</v>
      </c>
      <c r="J490" s="14"/>
      <c r="K490" s="208"/>
      <c r="L490" s="108"/>
    </row>
    <row r="491" spans="1:12" ht="15">
      <c r="A491" s="321"/>
      <c r="B491" s="204"/>
      <c r="C491" s="202"/>
      <c r="D491" s="202"/>
      <c r="E491" s="169">
        <v>2018</v>
      </c>
      <c r="F491" s="192">
        <f t="shared" si="51"/>
        <v>70</v>
      </c>
      <c r="G491" s="7"/>
      <c r="H491" s="7"/>
      <c r="I491" s="7">
        <v>70</v>
      </c>
      <c r="J491" s="14"/>
      <c r="K491" s="208"/>
      <c r="L491" s="108"/>
    </row>
    <row r="492" spans="1:12" ht="15">
      <c r="A492" s="321"/>
      <c r="B492" s="204"/>
      <c r="C492" s="202"/>
      <c r="D492" s="202"/>
      <c r="E492" s="169">
        <v>2019</v>
      </c>
      <c r="F492" s="192">
        <f t="shared" si="51"/>
        <v>75</v>
      </c>
      <c r="G492" s="7"/>
      <c r="H492" s="7"/>
      <c r="I492" s="7">
        <v>75</v>
      </c>
      <c r="J492" s="14"/>
      <c r="K492" s="208"/>
      <c r="L492" s="108"/>
    </row>
    <row r="493" spans="1:12" ht="15">
      <c r="A493" s="321"/>
      <c r="B493" s="204"/>
      <c r="C493" s="202"/>
      <c r="D493" s="202"/>
      <c r="E493" s="169">
        <v>2020</v>
      </c>
      <c r="F493" s="192">
        <f t="shared" si="51"/>
        <v>80</v>
      </c>
      <c r="G493" s="7"/>
      <c r="H493" s="7"/>
      <c r="I493" s="7">
        <v>80</v>
      </c>
      <c r="J493" s="14"/>
      <c r="K493" s="208"/>
    </row>
    <row r="494" spans="1:12" ht="14.25">
      <c r="A494" s="321"/>
      <c r="B494" s="230"/>
      <c r="C494" s="202"/>
      <c r="D494" s="203"/>
      <c r="E494" s="19" t="s">
        <v>18</v>
      </c>
      <c r="F494" s="194">
        <f>SUM(F488:F493)</f>
        <v>402.4</v>
      </c>
      <c r="G494" s="8"/>
      <c r="H494" s="8"/>
      <c r="I494" s="8">
        <f>SUM(I488:I493)</f>
        <v>402.4</v>
      </c>
      <c r="J494" s="14"/>
      <c r="K494" s="209"/>
    </row>
    <row r="495" spans="1:12" ht="15">
      <c r="A495" s="320" t="s">
        <v>82</v>
      </c>
      <c r="B495" s="204" t="s">
        <v>83</v>
      </c>
      <c r="C495" s="206" t="s">
        <v>68</v>
      </c>
      <c r="D495" s="201" t="s">
        <v>218</v>
      </c>
      <c r="E495" s="169">
        <v>2015</v>
      </c>
      <c r="F495" s="192">
        <f t="shared" ref="F495:F500" si="52">SUM(G495:I495)</f>
        <v>50</v>
      </c>
      <c r="G495" s="7"/>
      <c r="H495" s="7"/>
      <c r="I495" s="7">
        <v>50</v>
      </c>
      <c r="J495" s="14"/>
      <c r="K495" s="201" t="s">
        <v>170</v>
      </c>
    </row>
    <row r="496" spans="1:12" ht="15">
      <c r="A496" s="321"/>
      <c r="B496" s="205"/>
      <c r="C496" s="207"/>
      <c r="D496" s="202"/>
      <c r="E496" s="169">
        <v>2016</v>
      </c>
      <c r="F496" s="192">
        <f t="shared" si="52"/>
        <v>32</v>
      </c>
      <c r="G496" s="7"/>
      <c r="H496" s="7"/>
      <c r="I496" s="7">
        <f>55-23</f>
        <v>32</v>
      </c>
      <c r="J496" s="14"/>
      <c r="K496" s="208"/>
      <c r="L496" s="108"/>
    </row>
    <row r="497" spans="1:13" ht="15">
      <c r="A497" s="321"/>
      <c r="B497" s="205"/>
      <c r="C497" s="207"/>
      <c r="D497" s="202"/>
      <c r="E497" s="169">
        <v>2017</v>
      </c>
      <c r="F497" s="192">
        <f t="shared" si="52"/>
        <v>41.4</v>
      </c>
      <c r="G497" s="7"/>
      <c r="H497" s="7"/>
      <c r="I497" s="7">
        <v>41.4</v>
      </c>
      <c r="J497" s="14"/>
      <c r="K497" s="208"/>
      <c r="L497" s="108"/>
    </row>
    <row r="498" spans="1:13" ht="15">
      <c r="A498" s="321"/>
      <c r="B498" s="205"/>
      <c r="C498" s="207"/>
      <c r="D498" s="202"/>
      <c r="E498" s="169">
        <v>2018</v>
      </c>
      <c r="F498" s="192">
        <f t="shared" si="52"/>
        <v>65</v>
      </c>
      <c r="G498" s="7"/>
      <c r="H498" s="7"/>
      <c r="I498" s="7">
        <v>65</v>
      </c>
      <c r="J498" s="14"/>
      <c r="K498" s="208"/>
      <c r="L498" s="108"/>
    </row>
    <row r="499" spans="1:13" ht="15">
      <c r="A499" s="321"/>
      <c r="B499" s="205"/>
      <c r="C499" s="207"/>
      <c r="D499" s="202"/>
      <c r="E499" s="169">
        <v>2019</v>
      </c>
      <c r="F499" s="192">
        <f t="shared" si="52"/>
        <v>70</v>
      </c>
      <c r="G499" s="7"/>
      <c r="H499" s="7"/>
      <c r="I499" s="7">
        <v>70</v>
      </c>
      <c r="J499" s="14"/>
      <c r="K499" s="208"/>
      <c r="L499" s="108"/>
    </row>
    <row r="500" spans="1:13" ht="15">
      <c r="A500" s="321"/>
      <c r="B500" s="205"/>
      <c r="C500" s="207"/>
      <c r="D500" s="202"/>
      <c r="E500" s="169">
        <v>2020</v>
      </c>
      <c r="F500" s="192">
        <f t="shared" si="52"/>
        <v>75</v>
      </c>
      <c r="G500" s="7"/>
      <c r="H500" s="7"/>
      <c r="I500" s="7">
        <v>75</v>
      </c>
      <c r="J500" s="14"/>
      <c r="K500" s="208"/>
    </row>
    <row r="501" spans="1:13" ht="15">
      <c r="A501" s="321"/>
      <c r="B501" s="205"/>
      <c r="C501" s="207"/>
      <c r="D501" s="203"/>
      <c r="E501" s="19" t="s">
        <v>18</v>
      </c>
      <c r="F501" s="194">
        <f>SUM(F495:F500)</f>
        <v>333.4</v>
      </c>
      <c r="G501" s="7"/>
      <c r="H501" s="7"/>
      <c r="I501" s="8">
        <f>SUM(I495:I500)</f>
        <v>333.4</v>
      </c>
      <c r="J501" s="14"/>
      <c r="K501" s="209"/>
    </row>
    <row r="502" spans="1:13" ht="16.5" customHeight="1" thickBot="1">
      <c r="A502" s="313" t="s">
        <v>197</v>
      </c>
      <c r="B502" s="314"/>
      <c r="C502" s="315"/>
      <c r="D502" s="314"/>
      <c r="E502" s="6" t="s">
        <v>61</v>
      </c>
      <c r="F502" s="180">
        <f>F480+F487+F494+F501</f>
        <v>1555</v>
      </c>
      <c r="G502" s="180"/>
      <c r="H502" s="180">
        <f>H480+H487+H494+H501</f>
        <v>0</v>
      </c>
      <c r="I502" s="180">
        <f>I480+I487+I494+I501</f>
        <v>1555</v>
      </c>
      <c r="J502" s="17"/>
      <c r="K502" s="6"/>
      <c r="L502" s="135"/>
      <c r="M502" s="136"/>
    </row>
    <row r="503" spans="1:13" ht="15" thickBot="1">
      <c r="A503" s="310" t="s">
        <v>198</v>
      </c>
      <c r="B503" s="311"/>
      <c r="C503" s="311"/>
      <c r="D503" s="311"/>
      <c r="E503" s="311"/>
      <c r="F503" s="311"/>
      <c r="G503" s="311"/>
      <c r="H503" s="311"/>
      <c r="I503" s="311"/>
      <c r="J503" s="311"/>
      <c r="K503" s="312"/>
    </row>
    <row r="504" spans="1:13" ht="14.25">
      <c r="A504" s="316" t="s">
        <v>84</v>
      </c>
      <c r="B504" s="317"/>
      <c r="C504" s="317"/>
      <c r="D504" s="317"/>
      <c r="E504" s="318"/>
      <c r="F504" s="318"/>
      <c r="G504" s="318"/>
      <c r="H504" s="318"/>
      <c r="I504" s="318"/>
      <c r="J504" s="318"/>
      <c r="K504" s="319"/>
    </row>
    <row r="505" spans="1:13" ht="12.75" customHeight="1">
      <c r="A505" s="322" t="s">
        <v>99</v>
      </c>
      <c r="B505" s="248" t="s">
        <v>85</v>
      </c>
      <c r="C505" s="232" t="s">
        <v>68</v>
      </c>
      <c r="D505" s="201" t="s">
        <v>218</v>
      </c>
      <c r="E505" s="169">
        <v>2015</v>
      </c>
      <c r="F505" s="192">
        <f t="shared" ref="F505:F510" si="53">SUM(G505:I505)</f>
        <v>3623.3</v>
      </c>
      <c r="G505" s="7"/>
      <c r="H505" s="7">
        <f>3817-230</f>
        <v>3587</v>
      </c>
      <c r="I505" s="7">
        <f>38.6-2.3</f>
        <v>36.300000000000004</v>
      </c>
      <c r="J505" s="14"/>
      <c r="K505" s="201" t="s">
        <v>171</v>
      </c>
    </row>
    <row r="506" spans="1:13" ht="15">
      <c r="A506" s="323"/>
      <c r="B506" s="325"/>
      <c r="C506" s="202"/>
      <c r="D506" s="202"/>
      <c r="E506" s="169">
        <v>2016</v>
      </c>
      <c r="F506" s="192">
        <f t="shared" si="53"/>
        <v>27.8</v>
      </c>
      <c r="G506" s="7"/>
      <c r="H506" s="7">
        <v>0</v>
      </c>
      <c r="I506" s="7">
        <v>27.8</v>
      </c>
      <c r="J506" s="14"/>
      <c r="K506" s="208"/>
    </row>
    <row r="507" spans="1:13" ht="15">
      <c r="A507" s="323"/>
      <c r="B507" s="325"/>
      <c r="C507" s="202"/>
      <c r="D507" s="202"/>
      <c r="E507" s="169">
        <v>2017</v>
      </c>
      <c r="F507" s="192">
        <f t="shared" si="53"/>
        <v>0</v>
      </c>
      <c r="G507" s="7"/>
      <c r="H507" s="7">
        <v>0</v>
      </c>
      <c r="I507" s="7">
        <v>0</v>
      </c>
      <c r="J507" s="14"/>
      <c r="K507" s="208"/>
      <c r="L507" s="108"/>
    </row>
    <row r="508" spans="1:13" ht="15">
      <c r="A508" s="323"/>
      <c r="B508" s="325"/>
      <c r="C508" s="202"/>
      <c r="D508" s="202"/>
      <c r="E508" s="169">
        <v>2018</v>
      </c>
      <c r="F508" s="192">
        <f t="shared" si="53"/>
        <v>0</v>
      </c>
      <c r="G508" s="7"/>
      <c r="H508" s="7">
        <f>1605-1605</f>
        <v>0</v>
      </c>
      <c r="I508" s="7">
        <v>0</v>
      </c>
      <c r="J508" s="14"/>
      <c r="K508" s="208"/>
      <c r="L508" s="108"/>
    </row>
    <row r="509" spans="1:13" ht="15">
      <c r="A509" s="323"/>
      <c r="B509" s="325"/>
      <c r="C509" s="202"/>
      <c r="D509" s="202"/>
      <c r="E509" s="169">
        <v>2019</v>
      </c>
      <c r="F509" s="192">
        <f t="shared" si="53"/>
        <v>0</v>
      </c>
      <c r="G509" s="7"/>
      <c r="H509" s="7">
        <f>1469-1469</f>
        <v>0</v>
      </c>
      <c r="I509" s="7">
        <v>0</v>
      </c>
      <c r="J509" s="14"/>
      <c r="K509" s="208"/>
      <c r="L509" s="108"/>
    </row>
    <row r="510" spans="1:13" ht="15">
      <c r="A510" s="323"/>
      <c r="B510" s="325"/>
      <c r="C510" s="202"/>
      <c r="D510" s="202"/>
      <c r="E510" s="169">
        <v>2020</v>
      </c>
      <c r="F510" s="192">
        <f t="shared" si="53"/>
        <v>0</v>
      </c>
      <c r="G510" s="7"/>
      <c r="H510" s="7">
        <v>0</v>
      </c>
      <c r="I510" s="7">
        <v>0</v>
      </c>
      <c r="J510" s="14"/>
      <c r="K510" s="208"/>
    </row>
    <row r="511" spans="1:13" ht="15" thickBot="1">
      <c r="A511" s="324"/>
      <c r="B511" s="325"/>
      <c r="C511" s="326"/>
      <c r="D511" s="203"/>
      <c r="E511" s="19" t="s">
        <v>18</v>
      </c>
      <c r="F511" s="194">
        <f>SUM(F505:F510)</f>
        <v>3651.1000000000004</v>
      </c>
      <c r="G511" s="8"/>
      <c r="H511" s="8">
        <f>SUM(H505:H510)</f>
        <v>3587</v>
      </c>
      <c r="I511" s="8">
        <f>SUM(I505:I510)</f>
        <v>64.100000000000009</v>
      </c>
      <c r="J511" s="14"/>
      <c r="K511" s="209"/>
    </row>
    <row r="512" spans="1:13" ht="15.75" customHeight="1" thickBot="1">
      <c r="A512" s="313" t="s">
        <v>199</v>
      </c>
      <c r="B512" s="314"/>
      <c r="C512" s="314"/>
      <c r="D512" s="314"/>
      <c r="E512" s="145" t="s">
        <v>61</v>
      </c>
      <c r="F512" s="193">
        <f>SUM(F505:F510)</f>
        <v>3651.1000000000004</v>
      </c>
      <c r="G512" s="181"/>
      <c r="H512" s="8">
        <f>SUM(H505:H510)</f>
        <v>3587</v>
      </c>
      <c r="I512" s="8">
        <f>SUM(I505:I510)</f>
        <v>64.100000000000009</v>
      </c>
      <c r="J512" s="17"/>
      <c r="K512" s="6"/>
      <c r="L512" s="136"/>
      <c r="M512" s="136"/>
    </row>
    <row r="513" spans="1:35" ht="15" thickBot="1">
      <c r="A513" s="310" t="s">
        <v>317</v>
      </c>
      <c r="B513" s="311"/>
      <c r="C513" s="311"/>
      <c r="D513" s="311"/>
      <c r="E513" s="311"/>
      <c r="F513" s="311"/>
      <c r="G513" s="311"/>
      <c r="H513" s="311"/>
      <c r="I513" s="311"/>
      <c r="J513" s="311"/>
      <c r="K513" s="312"/>
    </row>
    <row r="514" spans="1:35" ht="12.75" customHeight="1">
      <c r="A514" s="322" t="s">
        <v>156</v>
      </c>
      <c r="B514" s="248" t="s">
        <v>319</v>
      </c>
      <c r="C514" s="232" t="s">
        <v>318</v>
      </c>
      <c r="D514" s="201" t="s">
        <v>320</v>
      </c>
      <c r="E514" s="169">
        <v>2017</v>
      </c>
      <c r="F514" s="192">
        <f t="shared" ref="F514:F517" si="54">SUM(G514:I514)</f>
        <v>112768.40000000001</v>
      </c>
      <c r="G514" s="7"/>
      <c r="H514" s="7">
        <f>117683.6-4915.2</f>
        <v>112768.40000000001</v>
      </c>
      <c r="I514" s="7">
        <v>0</v>
      </c>
      <c r="J514" s="14"/>
      <c r="K514" s="251" t="s">
        <v>399</v>
      </c>
      <c r="L514" s="108" t="s">
        <v>354</v>
      </c>
    </row>
    <row r="515" spans="1:35" ht="15">
      <c r="A515" s="323"/>
      <c r="B515" s="325"/>
      <c r="C515" s="202"/>
      <c r="D515" s="202"/>
      <c r="E515" s="169">
        <v>2018</v>
      </c>
      <c r="F515" s="192">
        <f t="shared" si="54"/>
        <v>122021</v>
      </c>
      <c r="G515" s="7"/>
      <c r="H515" s="7">
        <v>122021</v>
      </c>
      <c r="I515" s="7">
        <v>0</v>
      </c>
      <c r="J515" s="14"/>
      <c r="K515" s="389"/>
    </row>
    <row r="516" spans="1:35" ht="15">
      <c r="A516" s="323"/>
      <c r="B516" s="325"/>
      <c r="C516" s="202"/>
      <c r="D516" s="202"/>
      <c r="E516" s="169">
        <v>2019</v>
      </c>
      <c r="F516" s="192">
        <f t="shared" si="54"/>
        <v>126586.3</v>
      </c>
      <c r="G516" s="7"/>
      <c r="H516" s="7">
        <v>126586.3</v>
      </c>
      <c r="I516" s="7">
        <f>27.6-27.6</f>
        <v>0</v>
      </c>
      <c r="J516" s="14"/>
      <c r="K516" s="389"/>
      <c r="L516" s="108"/>
    </row>
    <row r="517" spans="1:35" ht="15">
      <c r="A517" s="323"/>
      <c r="B517" s="325"/>
      <c r="C517" s="202"/>
      <c r="D517" s="202"/>
      <c r="E517" s="169">
        <v>2020</v>
      </c>
      <c r="F517" s="192">
        <f t="shared" si="54"/>
        <v>131138</v>
      </c>
      <c r="G517" s="7"/>
      <c r="H517" s="7">
        <v>131138</v>
      </c>
      <c r="I517" s="7">
        <v>0</v>
      </c>
      <c r="J517" s="14"/>
      <c r="K517" s="389"/>
    </row>
    <row r="518" spans="1:35" ht="15" thickBot="1">
      <c r="A518" s="324"/>
      <c r="B518" s="325"/>
      <c r="C518" s="326"/>
      <c r="D518" s="203"/>
      <c r="E518" s="19" t="s">
        <v>18</v>
      </c>
      <c r="F518" s="194">
        <f>SUM(F514:F517)</f>
        <v>492513.7</v>
      </c>
      <c r="G518" s="8"/>
      <c r="H518" s="8">
        <f>SUM(H514:H517)</f>
        <v>492513.7</v>
      </c>
      <c r="I518" s="8">
        <f>SUM(I514:I517)</f>
        <v>0</v>
      </c>
      <c r="J518" s="14"/>
      <c r="K518" s="390"/>
    </row>
    <row r="519" spans="1:35" ht="16.5" customHeight="1" thickBot="1">
      <c r="A519" s="313" t="s">
        <v>221</v>
      </c>
      <c r="B519" s="314"/>
      <c r="C519" s="314"/>
      <c r="D519" s="314"/>
      <c r="E519" s="6" t="s">
        <v>313</v>
      </c>
      <c r="F519" s="193">
        <f>SUM(F514:F517)</f>
        <v>492513.7</v>
      </c>
      <c r="G519" s="181"/>
      <c r="H519" s="8">
        <f>SUM(H514:H517)</f>
        <v>492513.7</v>
      </c>
      <c r="I519" s="8">
        <f>SUM(I514:I517)</f>
        <v>0</v>
      </c>
      <c r="J519" s="17"/>
      <c r="K519" s="6"/>
      <c r="L519" s="135"/>
      <c r="M519" s="136"/>
    </row>
    <row r="520" spans="1:35" ht="47.25">
      <c r="A520" s="367" t="s">
        <v>201</v>
      </c>
      <c r="B520" s="297"/>
      <c r="C520" s="297"/>
      <c r="D520" s="298"/>
      <c r="E520" s="89" t="s">
        <v>61</v>
      </c>
      <c r="F520" s="89" t="s">
        <v>18</v>
      </c>
      <c r="G520" s="90" t="s">
        <v>10</v>
      </c>
      <c r="H520" s="91" t="s">
        <v>11</v>
      </c>
      <c r="I520" s="91" t="s">
        <v>12</v>
      </c>
      <c r="J520" s="91" t="s">
        <v>13</v>
      </c>
      <c r="K520" s="53"/>
      <c r="L520" s="140"/>
      <c r="M520" s="141"/>
      <c r="N520" s="70"/>
    </row>
    <row r="521" spans="1:35" ht="15.75">
      <c r="A521" s="170"/>
      <c r="B521" s="171"/>
      <c r="C521" s="171"/>
      <c r="D521" s="172"/>
      <c r="E521" s="94"/>
      <c r="F521" s="152">
        <f>SUM(G521:J521)</f>
        <v>791086.1</v>
      </c>
      <c r="G521" s="18"/>
      <c r="H521" s="11">
        <f>H512+H502+H471+H446+H399+H519</f>
        <v>496330.7</v>
      </c>
      <c r="I521" s="11">
        <f t="shared" ref="I521:J521" si="55">I512+I502+I471+I446+I399+I519</f>
        <v>294755.39999999997</v>
      </c>
      <c r="J521" s="11">
        <f t="shared" si="55"/>
        <v>0</v>
      </c>
      <c r="K521" s="53"/>
      <c r="L521" s="37"/>
      <c r="M521" s="37"/>
      <c r="N521" s="37"/>
    </row>
    <row r="522" spans="1:35" ht="18.75" customHeight="1" thickBot="1">
      <c r="A522" s="386" t="s">
        <v>202</v>
      </c>
      <c r="B522" s="387"/>
      <c r="C522" s="387"/>
      <c r="D522" s="387"/>
      <c r="E522" s="387"/>
      <c r="F522" s="387"/>
      <c r="G522" s="387"/>
      <c r="H522" s="387"/>
      <c r="I522" s="387"/>
      <c r="J522" s="387"/>
      <c r="K522" s="388"/>
      <c r="L522" s="71"/>
      <c r="M522" s="71"/>
      <c r="N522" s="71"/>
    </row>
    <row r="523" spans="1:35" ht="30" customHeight="1">
      <c r="A523" s="241" t="s">
        <v>203</v>
      </c>
      <c r="B523" s="243"/>
      <c r="C523" s="243"/>
      <c r="D523" s="243"/>
      <c r="E523" s="205"/>
      <c r="F523" s="205"/>
      <c r="G523" s="205"/>
      <c r="H523" s="205"/>
      <c r="I523" s="205"/>
      <c r="J523" s="205"/>
      <c r="K523" s="205"/>
      <c r="L523" s="72"/>
      <c r="M523" s="72"/>
      <c r="N523" s="72"/>
      <c r="O523" s="72"/>
      <c r="P523" s="72"/>
      <c r="Q523" s="72"/>
      <c r="R523" s="72"/>
      <c r="S523" s="72"/>
      <c r="T523" s="72"/>
      <c r="U523" s="72"/>
      <c r="V523" s="72"/>
      <c r="W523" s="72"/>
      <c r="X523" s="72"/>
      <c r="Y523" s="72"/>
      <c r="Z523" s="72"/>
      <c r="AA523" s="72"/>
      <c r="AB523" s="72"/>
      <c r="AC523" s="72"/>
      <c r="AD523" s="72"/>
      <c r="AE523" s="72"/>
      <c r="AF523" s="72"/>
      <c r="AG523" s="72"/>
      <c r="AH523" s="72"/>
      <c r="AI523" s="73"/>
    </row>
    <row r="524" spans="1:35" ht="15">
      <c r="A524" s="210" t="s">
        <v>103</v>
      </c>
      <c r="B524" s="328" t="s">
        <v>86</v>
      </c>
      <c r="C524" s="232" t="s">
        <v>68</v>
      </c>
      <c r="D524" s="201" t="s">
        <v>218</v>
      </c>
      <c r="E524" s="169">
        <v>2015</v>
      </c>
      <c r="F524" s="192">
        <f t="shared" ref="F524:F529" si="56">SUM(G524:J524)</f>
        <v>1923.3999999999999</v>
      </c>
      <c r="G524" s="7"/>
      <c r="H524" s="7">
        <f>2020.6-97.2</f>
        <v>1923.3999999999999</v>
      </c>
      <c r="I524" s="14"/>
      <c r="J524" s="14"/>
      <c r="K524" s="201" t="s">
        <v>172</v>
      </c>
    </row>
    <row r="525" spans="1:35" ht="15">
      <c r="A525" s="211"/>
      <c r="B525" s="288"/>
      <c r="C525" s="202"/>
      <c r="D525" s="202"/>
      <c r="E525" s="169">
        <v>2016</v>
      </c>
      <c r="F525" s="192">
        <f t="shared" si="56"/>
        <v>2072.6</v>
      </c>
      <c r="G525" s="7"/>
      <c r="H525" s="7">
        <f>2072.6</f>
        <v>2072.6</v>
      </c>
      <c r="I525" s="14"/>
      <c r="J525" s="14"/>
      <c r="K525" s="208"/>
      <c r="L525" s="108"/>
    </row>
    <row r="526" spans="1:35" ht="15">
      <c r="A526" s="211"/>
      <c r="B526" s="288"/>
      <c r="C526" s="202"/>
      <c r="D526" s="202"/>
      <c r="E526" s="169">
        <v>2017</v>
      </c>
      <c r="F526" s="192">
        <f t="shared" si="56"/>
        <v>1468.9</v>
      </c>
      <c r="G526" s="7"/>
      <c r="H526" s="7">
        <f>1919.7-116.3-334.5</f>
        <v>1468.9</v>
      </c>
      <c r="I526" s="14"/>
      <c r="J526" s="14"/>
      <c r="K526" s="208"/>
      <c r="L526" s="108" t="s">
        <v>349</v>
      </c>
      <c r="M526" s="115"/>
    </row>
    <row r="527" spans="1:35" ht="15">
      <c r="A527" s="211"/>
      <c r="B527" s="288"/>
      <c r="C527" s="202"/>
      <c r="D527" s="202"/>
      <c r="E527" s="169">
        <v>2018</v>
      </c>
      <c r="F527" s="192">
        <f t="shared" si="56"/>
        <v>1342.6</v>
      </c>
      <c r="G527" s="7"/>
      <c r="H527" s="7">
        <v>1342.6</v>
      </c>
      <c r="I527" s="14"/>
      <c r="J527" s="14"/>
      <c r="K527" s="208"/>
      <c r="L527" s="108"/>
      <c r="M527" s="115"/>
    </row>
    <row r="528" spans="1:35" ht="15">
      <c r="A528" s="211"/>
      <c r="B528" s="288"/>
      <c r="C528" s="202"/>
      <c r="D528" s="202"/>
      <c r="E528" s="169">
        <v>2019</v>
      </c>
      <c r="F528" s="192">
        <f t="shared" si="56"/>
        <v>1342.6</v>
      </c>
      <c r="G528" s="7"/>
      <c r="H528" s="7">
        <v>1342.6</v>
      </c>
      <c r="I528" s="14"/>
      <c r="J528" s="14"/>
      <c r="K528" s="208"/>
      <c r="L528" s="108"/>
      <c r="M528" s="115"/>
    </row>
    <row r="529" spans="1:13" ht="15">
      <c r="A529" s="211"/>
      <c r="B529" s="288"/>
      <c r="C529" s="202"/>
      <c r="D529" s="202"/>
      <c r="E529" s="169">
        <v>2020</v>
      </c>
      <c r="F529" s="192">
        <f t="shared" si="56"/>
        <v>1342.6</v>
      </c>
      <c r="G529" s="7"/>
      <c r="H529" s="7">
        <v>1342.6</v>
      </c>
      <c r="I529" s="14"/>
      <c r="J529" s="14"/>
      <c r="K529" s="208"/>
    </row>
    <row r="530" spans="1:13" ht="18.75" customHeight="1">
      <c r="A530" s="211"/>
      <c r="B530" s="288"/>
      <c r="C530" s="203"/>
      <c r="D530" s="203"/>
      <c r="E530" s="19" t="s">
        <v>18</v>
      </c>
      <c r="F530" s="193">
        <f>SUM(F524:F529)</f>
        <v>9492.7000000000007</v>
      </c>
      <c r="G530" s="8"/>
      <c r="H530" s="8">
        <f>SUM(H524:H529)</f>
        <v>9492.7000000000007</v>
      </c>
      <c r="I530" s="14"/>
      <c r="J530" s="14"/>
      <c r="K530" s="208"/>
    </row>
    <row r="531" spans="1:13" ht="15">
      <c r="A531" s="210" t="s">
        <v>105</v>
      </c>
      <c r="B531" s="248" t="s">
        <v>87</v>
      </c>
      <c r="C531" s="232" t="s">
        <v>68</v>
      </c>
      <c r="D531" s="201" t="s">
        <v>218</v>
      </c>
      <c r="E531" s="169">
        <v>2015</v>
      </c>
      <c r="F531" s="192">
        <f t="shared" ref="F531:F536" si="57">SUM(G531:J531)</f>
        <v>759.90000000000009</v>
      </c>
      <c r="G531" s="7"/>
      <c r="H531" s="7">
        <f>783-27.3+4.2</f>
        <v>759.90000000000009</v>
      </c>
      <c r="I531" s="7"/>
      <c r="J531" s="14"/>
      <c r="K531" s="208"/>
    </row>
    <row r="532" spans="1:13" ht="15">
      <c r="A532" s="211"/>
      <c r="B532" s="327"/>
      <c r="C532" s="202"/>
      <c r="D532" s="202"/>
      <c r="E532" s="169">
        <v>2016</v>
      </c>
      <c r="F532" s="192">
        <f t="shared" si="57"/>
        <v>753.4</v>
      </c>
      <c r="G532" s="7"/>
      <c r="H532" s="7">
        <f>753.4</f>
        <v>753.4</v>
      </c>
      <c r="I532" s="7"/>
      <c r="J532" s="14"/>
      <c r="K532" s="208"/>
      <c r="L532" s="108"/>
    </row>
    <row r="533" spans="1:13" ht="15">
      <c r="A533" s="211"/>
      <c r="B533" s="327"/>
      <c r="C533" s="202"/>
      <c r="D533" s="202"/>
      <c r="E533" s="169">
        <v>2017</v>
      </c>
      <c r="F533" s="192">
        <f t="shared" si="57"/>
        <v>425.09999999999997</v>
      </c>
      <c r="G533" s="7"/>
      <c r="H533" s="7">
        <f>671.9-162.8-84</f>
        <v>425.09999999999997</v>
      </c>
      <c r="I533" s="7"/>
      <c r="J533" s="14"/>
      <c r="K533" s="208"/>
      <c r="L533" s="127" t="s">
        <v>350</v>
      </c>
      <c r="M533" s="115"/>
    </row>
    <row r="534" spans="1:13" ht="15">
      <c r="A534" s="211"/>
      <c r="B534" s="327"/>
      <c r="C534" s="202"/>
      <c r="D534" s="202"/>
      <c r="E534" s="169">
        <v>2018</v>
      </c>
      <c r="F534" s="192">
        <f t="shared" si="57"/>
        <v>476.5</v>
      </c>
      <c r="G534" s="7"/>
      <c r="H534" s="7">
        <v>476.5</v>
      </c>
      <c r="I534" s="7"/>
      <c r="J534" s="14"/>
      <c r="K534" s="208"/>
      <c r="L534" s="108"/>
      <c r="M534" s="115"/>
    </row>
    <row r="535" spans="1:13" ht="15">
      <c r="A535" s="211"/>
      <c r="B535" s="327"/>
      <c r="C535" s="202"/>
      <c r="D535" s="202"/>
      <c r="E535" s="169">
        <v>2019</v>
      </c>
      <c r="F535" s="192">
        <f t="shared" si="57"/>
        <v>495.6</v>
      </c>
      <c r="G535" s="7"/>
      <c r="H535" s="7">
        <v>495.6</v>
      </c>
      <c r="I535" s="7"/>
      <c r="J535" s="14"/>
      <c r="K535" s="208"/>
      <c r="L535" s="108"/>
      <c r="M535" s="115"/>
    </row>
    <row r="536" spans="1:13" ht="15">
      <c r="A536" s="211"/>
      <c r="B536" s="327"/>
      <c r="C536" s="202"/>
      <c r="D536" s="202"/>
      <c r="E536" s="169">
        <v>2020</v>
      </c>
      <c r="F536" s="192">
        <f t="shared" si="57"/>
        <v>515.4</v>
      </c>
      <c r="G536" s="7"/>
      <c r="H536" s="7">
        <v>515.4</v>
      </c>
      <c r="I536" s="7"/>
      <c r="J536" s="14"/>
      <c r="K536" s="208"/>
    </row>
    <row r="537" spans="1:13" ht="14.25">
      <c r="A537" s="211"/>
      <c r="B537" s="314"/>
      <c r="C537" s="202"/>
      <c r="D537" s="203"/>
      <c r="E537" s="19" t="s">
        <v>18</v>
      </c>
      <c r="F537" s="194">
        <f>SUM(F531:F536)</f>
        <v>3425.9</v>
      </c>
      <c r="G537" s="8"/>
      <c r="H537" s="8">
        <f>SUM(H531:H536)</f>
        <v>3425.9</v>
      </c>
      <c r="I537" s="8"/>
      <c r="J537" s="13"/>
      <c r="K537" s="208"/>
    </row>
    <row r="538" spans="1:13" ht="15">
      <c r="A538" s="210" t="s">
        <v>107</v>
      </c>
      <c r="B538" s="248" t="s">
        <v>88</v>
      </c>
      <c r="C538" s="232" t="s">
        <v>68</v>
      </c>
      <c r="D538" s="201" t="s">
        <v>218</v>
      </c>
      <c r="E538" s="169">
        <v>2015</v>
      </c>
      <c r="F538" s="192">
        <f t="shared" ref="F538:F543" si="58">SUM(G538:J538)</f>
        <v>285</v>
      </c>
      <c r="G538" s="7"/>
      <c r="H538" s="7"/>
      <c r="I538" s="7">
        <v>285</v>
      </c>
      <c r="J538" s="14"/>
      <c r="K538" s="208"/>
    </row>
    <row r="539" spans="1:13" ht="15">
      <c r="A539" s="211"/>
      <c r="B539" s="327"/>
      <c r="C539" s="202"/>
      <c r="D539" s="202"/>
      <c r="E539" s="169">
        <v>2016</v>
      </c>
      <c r="F539" s="192">
        <f t="shared" si="58"/>
        <v>229.59999999999997</v>
      </c>
      <c r="G539" s="7"/>
      <c r="H539" s="7"/>
      <c r="I539" s="7">
        <f>281.4-51.8</f>
        <v>229.59999999999997</v>
      </c>
      <c r="J539" s="14"/>
      <c r="K539" s="208"/>
      <c r="L539" s="108"/>
    </row>
    <row r="540" spans="1:13" ht="15">
      <c r="A540" s="211"/>
      <c r="B540" s="327"/>
      <c r="C540" s="202"/>
      <c r="D540" s="202"/>
      <c r="E540" s="169">
        <v>2017</v>
      </c>
      <c r="F540" s="192">
        <f t="shared" si="58"/>
        <v>225.6</v>
      </c>
      <c r="G540" s="7"/>
      <c r="H540" s="7"/>
      <c r="I540" s="7">
        <v>225.6</v>
      </c>
      <c r="J540" s="14"/>
      <c r="K540" s="208"/>
      <c r="L540" s="108"/>
    </row>
    <row r="541" spans="1:13" ht="15">
      <c r="A541" s="211"/>
      <c r="B541" s="327"/>
      <c r="C541" s="202"/>
      <c r="D541" s="202"/>
      <c r="E541" s="169">
        <v>2018</v>
      </c>
      <c r="F541" s="192">
        <f t="shared" si="58"/>
        <v>220.6</v>
      </c>
      <c r="G541" s="7"/>
      <c r="H541" s="7"/>
      <c r="I541" s="7">
        <v>220.6</v>
      </c>
      <c r="J541" s="14"/>
      <c r="K541" s="208"/>
      <c r="L541" s="108"/>
    </row>
    <row r="542" spans="1:13" ht="15">
      <c r="A542" s="211"/>
      <c r="B542" s="327"/>
      <c r="C542" s="202"/>
      <c r="D542" s="202"/>
      <c r="E542" s="169">
        <v>2019</v>
      </c>
      <c r="F542" s="192">
        <f t="shared" si="58"/>
        <v>215</v>
      </c>
      <c r="G542" s="7"/>
      <c r="H542" s="7"/>
      <c r="I542" s="7">
        <v>215</v>
      </c>
      <c r="J542" s="14"/>
      <c r="K542" s="208"/>
    </row>
    <row r="543" spans="1:13" ht="15">
      <c r="A543" s="211"/>
      <c r="B543" s="327"/>
      <c r="C543" s="202"/>
      <c r="D543" s="202"/>
      <c r="E543" s="169">
        <v>2020</v>
      </c>
      <c r="F543" s="192">
        <f t="shared" si="58"/>
        <v>0</v>
      </c>
      <c r="G543" s="7"/>
      <c r="H543" s="7"/>
      <c r="I543" s="7">
        <v>0</v>
      </c>
      <c r="J543" s="14"/>
      <c r="K543" s="208"/>
    </row>
    <row r="544" spans="1:13" ht="60.75" customHeight="1">
      <c r="A544" s="211"/>
      <c r="B544" s="314"/>
      <c r="C544" s="202"/>
      <c r="D544" s="203"/>
      <c r="E544" s="19" t="s">
        <v>18</v>
      </c>
      <c r="F544" s="193">
        <f>SUM(F538:F543)</f>
        <v>1175.8</v>
      </c>
      <c r="G544" s="8"/>
      <c r="H544" s="8"/>
      <c r="I544" s="8">
        <f>SUM(I538:I543)</f>
        <v>1175.8</v>
      </c>
      <c r="J544" s="13"/>
      <c r="K544" s="208"/>
    </row>
    <row r="545" spans="1:35" ht="12.75" customHeight="1">
      <c r="A545" s="210" t="s">
        <v>108</v>
      </c>
      <c r="B545" s="204" t="s">
        <v>404</v>
      </c>
      <c r="C545" s="232" t="s">
        <v>68</v>
      </c>
      <c r="D545" s="201" t="s">
        <v>406</v>
      </c>
      <c r="E545" s="169">
        <v>2015</v>
      </c>
      <c r="F545" s="192">
        <f t="shared" ref="F545:F550" si="59">SUM(G545:I545)</f>
        <v>7143.2</v>
      </c>
      <c r="G545" s="7"/>
      <c r="H545" s="7">
        <f>7797.5+70.5-920.2-88.1</f>
        <v>6859.7</v>
      </c>
      <c r="I545" s="7">
        <v>283.5</v>
      </c>
      <c r="J545" s="14"/>
      <c r="K545" s="208"/>
    </row>
    <row r="546" spans="1:35" ht="15">
      <c r="A546" s="211"/>
      <c r="B546" s="205"/>
      <c r="C546" s="202"/>
      <c r="D546" s="208"/>
      <c r="E546" s="169">
        <v>2016</v>
      </c>
      <c r="F546" s="192">
        <f t="shared" si="59"/>
        <v>6232.8</v>
      </c>
      <c r="G546" s="7"/>
      <c r="H546" s="7">
        <f>9160.9-998.2-2081</f>
        <v>6081.7</v>
      </c>
      <c r="I546" s="7">
        <f>296.8-145.7</f>
        <v>151.10000000000002</v>
      </c>
      <c r="J546" s="14"/>
      <c r="K546" s="208"/>
      <c r="L546" s="108"/>
      <c r="P546" s="108" t="s">
        <v>351</v>
      </c>
      <c r="S546" s="108" t="s">
        <v>353</v>
      </c>
    </row>
    <row r="547" spans="1:35" ht="15">
      <c r="A547" s="211"/>
      <c r="B547" s="205"/>
      <c r="C547" s="202"/>
      <c r="D547" s="208"/>
      <c r="E547" s="169">
        <v>2017</v>
      </c>
      <c r="F547" s="192">
        <f t="shared" si="59"/>
        <v>6749.2000000000007</v>
      </c>
      <c r="G547" s="7"/>
      <c r="H547" s="7">
        <f>7964.8-97.5-1311.7</f>
        <v>6555.6</v>
      </c>
      <c r="I547" s="7">
        <f>225.6-32</f>
        <v>193.6</v>
      </c>
      <c r="J547" s="14"/>
      <c r="K547" s="208"/>
      <c r="L547" s="108" t="s">
        <v>383</v>
      </c>
      <c r="M547" s="115"/>
      <c r="N547" s="115"/>
      <c r="O547" s="116">
        <f>H547-S547</f>
        <v>-1311.6999999999998</v>
      </c>
      <c r="P547" s="131">
        <f>7130.3+680.4</f>
        <v>7810.7</v>
      </c>
      <c r="Q547" s="130" t="s">
        <v>352</v>
      </c>
      <c r="R547" s="121">
        <v>56.6</v>
      </c>
      <c r="S547" s="132">
        <f>P547+R547</f>
        <v>7867.3</v>
      </c>
    </row>
    <row r="548" spans="1:35" ht="15">
      <c r="A548" s="211"/>
      <c r="B548" s="205"/>
      <c r="C548" s="202"/>
      <c r="D548" s="208"/>
      <c r="E548" s="169">
        <v>2018</v>
      </c>
      <c r="F548" s="192">
        <f t="shared" si="59"/>
        <v>8162.3</v>
      </c>
      <c r="G548" s="7"/>
      <c r="H548" s="7">
        <v>7889.6</v>
      </c>
      <c r="I548" s="7">
        <f>61+211.7</f>
        <v>272.7</v>
      </c>
      <c r="J548" s="14"/>
      <c r="K548" s="208"/>
      <c r="L548" s="108"/>
      <c r="M548" s="115"/>
      <c r="N548" s="115"/>
    </row>
    <row r="549" spans="1:35" ht="15">
      <c r="A549" s="211"/>
      <c r="B549" s="205"/>
      <c r="C549" s="202"/>
      <c r="D549" s="208"/>
      <c r="E549" s="169">
        <v>2019</v>
      </c>
      <c r="F549" s="192">
        <f t="shared" si="59"/>
        <v>8157.1</v>
      </c>
      <c r="G549" s="7"/>
      <c r="H549" s="7">
        <v>7889.6</v>
      </c>
      <c r="I549" s="7">
        <f>64.4+203.1</f>
        <v>267.5</v>
      </c>
      <c r="J549" s="14"/>
      <c r="K549" s="208"/>
      <c r="M549" s="115"/>
      <c r="N549" s="115"/>
    </row>
    <row r="550" spans="1:35" ht="15">
      <c r="A550" s="211"/>
      <c r="B550" s="205"/>
      <c r="C550" s="202"/>
      <c r="D550" s="208"/>
      <c r="E550" s="169">
        <v>2020</v>
      </c>
      <c r="F550" s="192">
        <f t="shared" si="59"/>
        <v>7889.6</v>
      </c>
      <c r="G550" s="7"/>
      <c r="H550" s="7">
        <v>7889.6</v>
      </c>
      <c r="I550" s="7">
        <v>0</v>
      </c>
      <c r="J550" s="14"/>
      <c r="K550" s="208"/>
    </row>
    <row r="551" spans="1:35" ht="35.25" customHeight="1">
      <c r="A551" s="211"/>
      <c r="B551" s="205"/>
      <c r="C551" s="202"/>
      <c r="D551" s="209"/>
      <c r="E551" s="19" t="s">
        <v>18</v>
      </c>
      <c r="F551" s="193">
        <f>SUM(F545:F550)</f>
        <v>44334.2</v>
      </c>
      <c r="G551" s="8"/>
      <c r="H551" s="8">
        <f>SUM(H545:H550)</f>
        <v>43165.799999999996</v>
      </c>
      <c r="I551" s="8">
        <f>SUM(I545:I550)</f>
        <v>1168.4000000000001</v>
      </c>
      <c r="J551" s="14"/>
      <c r="K551" s="209"/>
    </row>
    <row r="552" spans="1:35" ht="18" customHeight="1" thickBot="1">
      <c r="A552" s="332" t="s">
        <v>204</v>
      </c>
      <c r="B552" s="327"/>
      <c r="C552" s="327"/>
      <c r="D552" s="327"/>
      <c r="E552" s="56" t="s">
        <v>61</v>
      </c>
      <c r="F552" s="152">
        <f>F530+F537+F544+F551</f>
        <v>58428.6</v>
      </c>
      <c r="G552" s="152">
        <f>G530+G537+G544+G551</f>
        <v>0</v>
      </c>
      <c r="H552" s="152">
        <f>H530+H537+H544+H551</f>
        <v>56084.399999999994</v>
      </c>
      <c r="I552" s="152">
        <f>I530+I537+I544+I551</f>
        <v>2344.1999999999998</v>
      </c>
      <c r="J552" s="16"/>
      <c r="K552" s="56"/>
      <c r="L552" s="135"/>
      <c r="M552" s="136"/>
    </row>
    <row r="553" spans="1:35" ht="27" customHeight="1" thickBot="1">
      <c r="A553" s="310" t="s">
        <v>205</v>
      </c>
      <c r="B553" s="311"/>
      <c r="C553" s="311"/>
      <c r="D553" s="311"/>
      <c r="E553" s="311"/>
      <c r="F553" s="311"/>
      <c r="G553" s="311"/>
      <c r="H553" s="311"/>
      <c r="I553" s="311"/>
      <c r="J553" s="311"/>
      <c r="K553" s="312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6"/>
    </row>
    <row r="554" spans="1:35" ht="15" thickBot="1">
      <c r="A554" s="310" t="s">
        <v>206</v>
      </c>
      <c r="B554" s="311"/>
      <c r="C554" s="311"/>
      <c r="D554" s="311"/>
      <c r="E554" s="311"/>
      <c r="F554" s="311"/>
      <c r="G554" s="311"/>
      <c r="H554" s="311"/>
      <c r="I554" s="311"/>
      <c r="J554" s="311"/>
      <c r="K554" s="312"/>
    </row>
    <row r="555" spans="1:35" ht="15">
      <c r="A555" s="210" t="s">
        <v>64</v>
      </c>
      <c r="B555" s="204" t="s">
        <v>89</v>
      </c>
      <c r="C555" s="206" t="s">
        <v>61</v>
      </c>
      <c r="D555" s="329" t="s">
        <v>218</v>
      </c>
      <c r="E555" s="169">
        <v>2015</v>
      </c>
      <c r="F555" s="192">
        <f t="shared" ref="F555:F560" si="60">SUM(G555:I555)</f>
        <v>45</v>
      </c>
      <c r="G555" s="7"/>
      <c r="H555" s="7"/>
      <c r="I555" s="7">
        <v>45</v>
      </c>
      <c r="J555" s="14"/>
      <c r="K555" s="329" t="s">
        <v>173</v>
      </c>
    </row>
    <row r="556" spans="1:35" ht="15">
      <c r="A556" s="211"/>
      <c r="B556" s="205"/>
      <c r="C556" s="207"/>
      <c r="D556" s="202"/>
      <c r="E556" s="169">
        <v>2016</v>
      </c>
      <c r="F556" s="192">
        <f t="shared" si="60"/>
        <v>47</v>
      </c>
      <c r="G556" s="7"/>
      <c r="H556" s="7"/>
      <c r="I556" s="7">
        <v>47</v>
      </c>
      <c r="J556" s="14"/>
      <c r="K556" s="208"/>
    </row>
    <row r="557" spans="1:35" ht="15">
      <c r="A557" s="211"/>
      <c r="B557" s="205"/>
      <c r="C557" s="207"/>
      <c r="D557" s="202"/>
      <c r="E557" s="169">
        <v>2017</v>
      </c>
      <c r="F557" s="192">
        <f t="shared" si="60"/>
        <v>0</v>
      </c>
      <c r="G557" s="7"/>
      <c r="H557" s="7"/>
      <c r="I557" s="7">
        <f>42-42</f>
        <v>0</v>
      </c>
      <c r="J557" s="14"/>
      <c r="K557" s="208"/>
      <c r="L557" s="108"/>
    </row>
    <row r="558" spans="1:35" ht="15">
      <c r="A558" s="211"/>
      <c r="B558" s="205"/>
      <c r="C558" s="207"/>
      <c r="D558" s="202"/>
      <c r="E558" s="169">
        <v>2018</v>
      </c>
      <c r="F558" s="192">
        <f t="shared" si="60"/>
        <v>51</v>
      </c>
      <c r="G558" s="7"/>
      <c r="H558" s="7"/>
      <c r="I558" s="7">
        <v>51</v>
      </c>
      <c r="J558" s="14"/>
      <c r="K558" s="208"/>
      <c r="L558" s="115"/>
    </row>
    <row r="559" spans="1:35" ht="15">
      <c r="A559" s="211"/>
      <c r="B559" s="205"/>
      <c r="C559" s="207"/>
      <c r="D559" s="202"/>
      <c r="E559" s="169">
        <v>2019</v>
      </c>
      <c r="F559" s="192">
        <f t="shared" si="60"/>
        <v>53</v>
      </c>
      <c r="G559" s="7"/>
      <c r="H559" s="7"/>
      <c r="I559" s="7">
        <v>53</v>
      </c>
      <c r="J559" s="14"/>
      <c r="K559" s="208"/>
      <c r="L559" s="108"/>
    </row>
    <row r="560" spans="1:35" ht="15">
      <c r="A560" s="211"/>
      <c r="B560" s="205"/>
      <c r="C560" s="207"/>
      <c r="D560" s="202"/>
      <c r="E560" s="169">
        <v>2020</v>
      </c>
      <c r="F560" s="192">
        <f t="shared" si="60"/>
        <v>0</v>
      </c>
      <c r="G560" s="7"/>
      <c r="H560" s="7"/>
      <c r="I560" s="7">
        <v>0</v>
      </c>
      <c r="J560" s="14"/>
      <c r="K560" s="208"/>
    </row>
    <row r="561" spans="1:12" ht="14.25">
      <c r="A561" s="211"/>
      <c r="B561" s="205"/>
      <c r="C561" s="207"/>
      <c r="D561" s="203"/>
      <c r="E561" s="19" t="s">
        <v>18</v>
      </c>
      <c r="F561" s="194">
        <f>SUM(F555:F560)</f>
        <v>196</v>
      </c>
      <c r="G561" s="8"/>
      <c r="H561" s="8"/>
      <c r="I561" s="8">
        <f>SUM(I555:I560)</f>
        <v>196</v>
      </c>
      <c r="J561" s="14"/>
      <c r="K561" s="209"/>
    </row>
    <row r="562" spans="1:12" ht="15">
      <c r="A562" s="330" t="s">
        <v>292</v>
      </c>
      <c r="B562" s="204" t="s">
        <v>90</v>
      </c>
      <c r="C562" s="206" t="s">
        <v>61</v>
      </c>
      <c r="D562" s="201" t="s">
        <v>218</v>
      </c>
      <c r="E562" s="169">
        <v>2015</v>
      </c>
      <c r="F562" s="192">
        <f t="shared" ref="F562:F567" si="61">I562</f>
        <v>12</v>
      </c>
      <c r="G562" s="7"/>
      <c r="H562" s="7"/>
      <c r="I562" s="7">
        <v>12</v>
      </c>
      <c r="J562" s="14"/>
      <c r="K562" s="201" t="s">
        <v>174</v>
      </c>
    </row>
    <row r="563" spans="1:12" ht="15">
      <c r="A563" s="331"/>
      <c r="B563" s="205"/>
      <c r="C563" s="207"/>
      <c r="D563" s="202"/>
      <c r="E563" s="169">
        <v>2016</v>
      </c>
      <c r="F563" s="192">
        <f t="shared" si="61"/>
        <v>12.5</v>
      </c>
      <c r="G563" s="7"/>
      <c r="H563" s="7"/>
      <c r="I563" s="7">
        <v>12.5</v>
      </c>
      <c r="J563" s="14"/>
      <c r="K563" s="208"/>
    </row>
    <row r="564" spans="1:12" ht="15">
      <c r="A564" s="331"/>
      <c r="B564" s="205"/>
      <c r="C564" s="207"/>
      <c r="D564" s="202"/>
      <c r="E564" s="169">
        <v>2017</v>
      </c>
      <c r="F564" s="192">
        <f t="shared" si="61"/>
        <v>0</v>
      </c>
      <c r="G564" s="7"/>
      <c r="H564" s="7"/>
      <c r="I564" s="7">
        <f>9.3-9.3</f>
        <v>0</v>
      </c>
      <c r="J564" s="14"/>
      <c r="K564" s="208"/>
      <c r="L564" s="115"/>
    </row>
    <row r="565" spans="1:12" ht="15">
      <c r="A565" s="331"/>
      <c r="B565" s="205"/>
      <c r="C565" s="207"/>
      <c r="D565" s="202"/>
      <c r="E565" s="169">
        <v>2018</v>
      </c>
      <c r="F565" s="192">
        <f t="shared" si="61"/>
        <v>149</v>
      </c>
      <c r="G565" s="7"/>
      <c r="H565" s="7"/>
      <c r="I565" s="7">
        <v>149</v>
      </c>
      <c r="J565" s="14"/>
      <c r="K565" s="208"/>
      <c r="L565" s="108"/>
    </row>
    <row r="566" spans="1:12" ht="15">
      <c r="A566" s="331"/>
      <c r="B566" s="205"/>
      <c r="C566" s="207"/>
      <c r="D566" s="202"/>
      <c r="E566" s="169">
        <v>2019</v>
      </c>
      <c r="F566" s="192">
        <f t="shared" si="61"/>
        <v>14</v>
      </c>
      <c r="G566" s="7"/>
      <c r="H566" s="7"/>
      <c r="I566" s="7">
        <v>14</v>
      </c>
      <c r="J566" s="14"/>
      <c r="K566" s="208"/>
      <c r="L566" s="108"/>
    </row>
    <row r="567" spans="1:12" ht="15">
      <c r="A567" s="331"/>
      <c r="B567" s="205"/>
      <c r="C567" s="207"/>
      <c r="D567" s="202"/>
      <c r="E567" s="169">
        <v>2020</v>
      </c>
      <c r="F567" s="192">
        <f t="shared" si="61"/>
        <v>0</v>
      </c>
      <c r="G567" s="7"/>
      <c r="H567" s="7"/>
      <c r="I567" s="7">
        <v>0</v>
      </c>
      <c r="J567" s="14"/>
      <c r="K567" s="208"/>
    </row>
    <row r="568" spans="1:12" ht="14.25">
      <c r="A568" s="331"/>
      <c r="B568" s="205"/>
      <c r="C568" s="207"/>
      <c r="D568" s="203"/>
      <c r="E568" s="19" t="s">
        <v>18</v>
      </c>
      <c r="F568" s="194">
        <f>SUM(F562:F567)</f>
        <v>187.5</v>
      </c>
      <c r="G568" s="8"/>
      <c r="H568" s="8"/>
      <c r="I568" s="8">
        <f>SUM(I562:I567)</f>
        <v>187.5</v>
      </c>
      <c r="J568" s="14"/>
      <c r="K568" s="209"/>
    </row>
    <row r="569" spans="1:12">
      <c r="A569" s="330" t="s">
        <v>300</v>
      </c>
      <c r="B569" s="204" t="s">
        <v>91</v>
      </c>
      <c r="C569" s="206" t="s">
        <v>61</v>
      </c>
      <c r="D569" s="201" t="s">
        <v>218</v>
      </c>
      <c r="E569" s="169">
        <v>2015</v>
      </c>
      <c r="F569" s="74"/>
      <c r="G569" s="2"/>
      <c r="H569" s="2"/>
      <c r="I569" s="2"/>
      <c r="J569" s="2"/>
      <c r="K569" s="201" t="s">
        <v>175</v>
      </c>
    </row>
    <row r="570" spans="1:12">
      <c r="A570" s="331"/>
      <c r="B570" s="205"/>
      <c r="C570" s="207"/>
      <c r="D570" s="202"/>
      <c r="E570" s="169">
        <v>2016</v>
      </c>
      <c r="F570" s="74"/>
      <c r="G570" s="2"/>
      <c r="H570" s="2"/>
      <c r="I570" s="2"/>
      <c r="J570" s="2"/>
      <c r="K570" s="208"/>
    </row>
    <row r="571" spans="1:12">
      <c r="A571" s="331"/>
      <c r="B571" s="205"/>
      <c r="C571" s="207"/>
      <c r="D571" s="202"/>
      <c r="E571" s="169">
        <v>2017</v>
      </c>
      <c r="F571" s="74"/>
      <c r="G571" s="2"/>
      <c r="H571" s="2"/>
      <c r="I571" s="2"/>
      <c r="J571" s="2"/>
      <c r="K571" s="208"/>
    </row>
    <row r="572" spans="1:12">
      <c r="A572" s="331"/>
      <c r="B572" s="205"/>
      <c r="C572" s="207"/>
      <c r="D572" s="202"/>
      <c r="E572" s="169">
        <v>2018</v>
      </c>
      <c r="F572" s="74"/>
      <c r="G572" s="2"/>
      <c r="H572" s="2"/>
      <c r="I572" s="2"/>
      <c r="J572" s="2"/>
      <c r="K572" s="208"/>
      <c r="L572" s="115"/>
    </row>
    <row r="573" spans="1:12">
      <c r="A573" s="331"/>
      <c r="B573" s="205"/>
      <c r="C573" s="207"/>
      <c r="D573" s="202"/>
      <c r="E573" s="169">
        <v>2019</v>
      </c>
      <c r="F573" s="74"/>
      <c r="G573" s="2"/>
      <c r="H573" s="2"/>
      <c r="I573" s="2"/>
      <c r="J573" s="2"/>
      <c r="K573" s="208"/>
    </row>
    <row r="574" spans="1:12">
      <c r="A574" s="331"/>
      <c r="B574" s="205"/>
      <c r="C574" s="207"/>
      <c r="D574" s="202"/>
      <c r="E574" s="169">
        <v>2020</v>
      </c>
      <c r="F574" s="74"/>
      <c r="G574" s="2"/>
      <c r="H574" s="2"/>
      <c r="I574" s="2"/>
      <c r="J574" s="2"/>
      <c r="K574" s="208"/>
    </row>
    <row r="575" spans="1:12">
      <c r="A575" s="331"/>
      <c r="B575" s="205"/>
      <c r="C575" s="207"/>
      <c r="D575" s="203"/>
      <c r="E575" s="19" t="s">
        <v>18</v>
      </c>
      <c r="F575" s="74"/>
      <c r="G575" s="2"/>
      <c r="H575" s="2"/>
      <c r="I575" s="2"/>
      <c r="J575" s="2"/>
      <c r="K575" s="209"/>
    </row>
    <row r="576" spans="1:12" ht="12.75" customHeight="1">
      <c r="A576" s="330" t="s">
        <v>301</v>
      </c>
      <c r="B576" s="204" t="s">
        <v>92</v>
      </c>
      <c r="C576" s="206" t="s">
        <v>61</v>
      </c>
      <c r="D576" s="201" t="s">
        <v>218</v>
      </c>
      <c r="E576" s="169">
        <v>2015</v>
      </c>
      <c r="F576" s="74"/>
      <c r="G576" s="2"/>
      <c r="H576" s="2"/>
      <c r="I576" s="2"/>
      <c r="J576" s="2"/>
      <c r="K576" s="201" t="s">
        <v>176</v>
      </c>
    </row>
    <row r="577" spans="1:35">
      <c r="A577" s="331"/>
      <c r="B577" s="205"/>
      <c r="C577" s="207"/>
      <c r="D577" s="202"/>
      <c r="E577" s="169">
        <v>2016</v>
      </c>
      <c r="F577" s="74"/>
      <c r="G577" s="2"/>
      <c r="H577" s="2"/>
      <c r="I577" s="2"/>
      <c r="J577" s="2"/>
      <c r="K577" s="208"/>
    </row>
    <row r="578" spans="1:35">
      <c r="A578" s="331"/>
      <c r="B578" s="205"/>
      <c r="C578" s="207"/>
      <c r="D578" s="202"/>
      <c r="E578" s="169">
        <v>2017</v>
      </c>
      <c r="F578" s="74"/>
      <c r="G578" s="2"/>
      <c r="H578" s="2"/>
      <c r="I578" s="2"/>
      <c r="J578" s="2"/>
      <c r="K578" s="208"/>
    </row>
    <row r="579" spans="1:35">
      <c r="A579" s="331"/>
      <c r="B579" s="205"/>
      <c r="C579" s="207"/>
      <c r="D579" s="202"/>
      <c r="E579" s="169">
        <v>2018</v>
      </c>
      <c r="F579" s="74"/>
      <c r="G579" s="2"/>
      <c r="H579" s="2"/>
      <c r="I579" s="2"/>
      <c r="J579" s="2"/>
      <c r="K579" s="208"/>
      <c r="L579" s="115"/>
    </row>
    <row r="580" spans="1:35">
      <c r="A580" s="331"/>
      <c r="B580" s="205"/>
      <c r="C580" s="207"/>
      <c r="D580" s="202"/>
      <c r="E580" s="169">
        <v>2019</v>
      </c>
      <c r="F580" s="74"/>
      <c r="G580" s="2"/>
      <c r="H580" s="2"/>
      <c r="I580" s="2"/>
      <c r="J580" s="2"/>
      <c r="K580" s="208"/>
    </row>
    <row r="581" spans="1:35">
      <c r="A581" s="331"/>
      <c r="B581" s="205"/>
      <c r="C581" s="207"/>
      <c r="D581" s="202"/>
      <c r="E581" s="169">
        <v>2020</v>
      </c>
      <c r="F581" s="74"/>
      <c r="G581" s="2"/>
      <c r="H581" s="2"/>
      <c r="I581" s="2"/>
      <c r="J581" s="2"/>
      <c r="K581" s="208"/>
    </row>
    <row r="582" spans="1:35" ht="24.75" customHeight="1">
      <c r="A582" s="331"/>
      <c r="B582" s="205"/>
      <c r="C582" s="207"/>
      <c r="D582" s="203"/>
      <c r="E582" s="19" t="s">
        <v>18</v>
      </c>
      <c r="F582" s="74"/>
      <c r="G582" s="2"/>
      <c r="H582" s="2"/>
      <c r="I582" s="2"/>
      <c r="J582" s="2"/>
      <c r="K582" s="208"/>
      <c r="L582" s="144"/>
      <c r="M582" s="136"/>
    </row>
    <row r="583" spans="1:35" ht="15.75" customHeight="1" thickBot="1">
      <c r="A583" s="313" t="s">
        <v>207</v>
      </c>
      <c r="B583" s="314"/>
      <c r="C583" s="314"/>
      <c r="D583" s="314"/>
      <c r="E583" s="6" t="s">
        <v>61</v>
      </c>
      <c r="F583" s="180">
        <f>F561+F568</f>
        <v>383.5</v>
      </c>
      <c r="G583" s="180"/>
      <c r="H583" s="180">
        <f>H561+H568+H575+H582</f>
        <v>0</v>
      </c>
      <c r="I583" s="180">
        <f>I561+I568+I575+I582</f>
        <v>383.5</v>
      </c>
      <c r="J583" s="15"/>
      <c r="K583" s="168"/>
    </row>
    <row r="584" spans="1:35" ht="31.5" customHeight="1" thickBot="1">
      <c r="A584" s="287" t="s">
        <v>208</v>
      </c>
      <c r="B584" s="288"/>
      <c r="C584" s="288"/>
      <c r="D584" s="288"/>
      <c r="E584" s="288"/>
      <c r="F584" s="288"/>
      <c r="G584" s="288"/>
      <c r="H584" s="288"/>
      <c r="I584" s="288"/>
      <c r="J584" s="288"/>
      <c r="K584" s="288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  <c r="AA584" s="75"/>
      <c r="AB584" s="75"/>
      <c r="AC584" s="75"/>
      <c r="AD584" s="75"/>
      <c r="AE584" s="75"/>
      <c r="AF584" s="75"/>
      <c r="AG584" s="75"/>
      <c r="AH584" s="75"/>
      <c r="AI584" s="76"/>
    </row>
    <row r="585" spans="1:35" ht="30" customHeight="1" thickBot="1">
      <c r="A585" s="241" t="s">
        <v>209</v>
      </c>
      <c r="B585" s="348"/>
      <c r="C585" s="348"/>
      <c r="D585" s="349"/>
      <c r="E585" s="349"/>
      <c r="F585" s="349"/>
      <c r="G585" s="349"/>
      <c r="H585" s="349"/>
      <c r="I585" s="349"/>
      <c r="J585" s="349"/>
      <c r="K585" s="349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  <c r="AC585" s="77"/>
      <c r="AD585" s="77"/>
      <c r="AE585" s="77"/>
      <c r="AF585" s="77"/>
      <c r="AG585" s="77"/>
      <c r="AH585" s="77"/>
      <c r="AI585" s="78"/>
    </row>
    <row r="586" spans="1:35" ht="15">
      <c r="A586" s="330" t="s">
        <v>93</v>
      </c>
      <c r="B586" s="204" t="s">
        <v>94</v>
      </c>
      <c r="C586" s="206" t="s">
        <v>61</v>
      </c>
      <c r="D586" s="201" t="s">
        <v>218</v>
      </c>
      <c r="E586" s="169">
        <v>2015</v>
      </c>
      <c r="F586" s="192">
        <f t="shared" ref="F586:F591" si="62">SUM(G586:I586)</f>
        <v>170</v>
      </c>
      <c r="G586" s="7"/>
      <c r="H586" s="7"/>
      <c r="I586" s="7">
        <v>170</v>
      </c>
      <c r="J586" s="14"/>
      <c r="K586" s="201" t="s">
        <v>177</v>
      </c>
    </row>
    <row r="587" spans="1:35" ht="15">
      <c r="A587" s="331"/>
      <c r="B587" s="205"/>
      <c r="C587" s="207"/>
      <c r="D587" s="202"/>
      <c r="E587" s="169">
        <v>2016</v>
      </c>
      <c r="F587" s="192">
        <f t="shared" si="62"/>
        <v>179.9</v>
      </c>
      <c r="G587" s="7"/>
      <c r="H587" s="7"/>
      <c r="I587" s="7">
        <f>180-0.1</f>
        <v>179.9</v>
      </c>
      <c r="J587" s="14"/>
      <c r="K587" s="208"/>
    </row>
    <row r="588" spans="1:35" ht="15">
      <c r="A588" s="331"/>
      <c r="B588" s="205"/>
      <c r="C588" s="207"/>
      <c r="D588" s="202"/>
      <c r="E588" s="169">
        <v>2017</v>
      </c>
      <c r="F588" s="192">
        <f t="shared" si="62"/>
        <v>155</v>
      </c>
      <c r="G588" s="7"/>
      <c r="H588" s="7"/>
      <c r="I588" s="7">
        <v>155</v>
      </c>
      <c r="J588" s="14"/>
      <c r="K588" s="208"/>
      <c r="L588" s="115"/>
    </row>
    <row r="589" spans="1:35" ht="15">
      <c r="A589" s="331"/>
      <c r="B589" s="205"/>
      <c r="C589" s="207"/>
      <c r="D589" s="202"/>
      <c r="E589" s="169">
        <v>2018</v>
      </c>
      <c r="F589" s="192">
        <f t="shared" si="62"/>
        <v>0</v>
      </c>
      <c r="G589" s="7"/>
      <c r="H589" s="7"/>
      <c r="I589" s="7">
        <v>0</v>
      </c>
      <c r="J589" s="14"/>
      <c r="K589" s="208"/>
      <c r="L589" s="108"/>
    </row>
    <row r="590" spans="1:35" ht="15">
      <c r="A590" s="331"/>
      <c r="B590" s="205"/>
      <c r="C590" s="207"/>
      <c r="D590" s="202"/>
      <c r="E590" s="169">
        <v>2019</v>
      </c>
      <c r="F590" s="192">
        <f t="shared" si="62"/>
        <v>210</v>
      </c>
      <c r="G590" s="7"/>
      <c r="H590" s="7"/>
      <c r="I590" s="7">
        <v>210</v>
      </c>
      <c r="J590" s="14"/>
      <c r="K590" s="208"/>
      <c r="L590" s="108"/>
    </row>
    <row r="591" spans="1:35" ht="15">
      <c r="A591" s="331"/>
      <c r="B591" s="205"/>
      <c r="C591" s="207"/>
      <c r="D591" s="202"/>
      <c r="E591" s="169">
        <v>2020</v>
      </c>
      <c r="F591" s="192">
        <f t="shared" si="62"/>
        <v>200</v>
      </c>
      <c r="G591" s="7"/>
      <c r="H591" s="7"/>
      <c r="I591" s="7">
        <v>200</v>
      </c>
      <c r="J591" s="14"/>
      <c r="K591" s="208"/>
    </row>
    <row r="592" spans="1:35" ht="15" thickBot="1">
      <c r="A592" s="331"/>
      <c r="B592" s="205"/>
      <c r="C592" s="207"/>
      <c r="D592" s="203"/>
      <c r="E592" s="19" t="s">
        <v>18</v>
      </c>
      <c r="F592" s="194">
        <f>SUM(F586:F591)</f>
        <v>914.9</v>
      </c>
      <c r="G592" s="8"/>
      <c r="H592" s="8"/>
      <c r="I592" s="8">
        <f>SUM(I586:I591)</f>
        <v>914.9</v>
      </c>
      <c r="J592" s="14"/>
      <c r="K592" s="209"/>
    </row>
    <row r="593" spans="1:35">
      <c r="A593" s="330" t="s">
        <v>67</v>
      </c>
      <c r="B593" s="333" t="s">
        <v>95</v>
      </c>
      <c r="C593" s="206" t="s">
        <v>61</v>
      </c>
      <c r="D593" s="201" t="s">
        <v>218</v>
      </c>
      <c r="E593" s="169">
        <v>2015</v>
      </c>
      <c r="F593" s="79"/>
      <c r="G593" s="14"/>
      <c r="H593" s="14"/>
      <c r="I593" s="14"/>
      <c r="J593" s="14"/>
      <c r="K593" s="201" t="s">
        <v>178</v>
      </c>
    </row>
    <row r="594" spans="1:35">
      <c r="A594" s="331"/>
      <c r="B594" s="334"/>
      <c r="C594" s="207"/>
      <c r="D594" s="202"/>
      <c r="E594" s="169">
        <v>2016</v>
      </c>
      <c r="F594" s="79"/>
      <c r="G594" s="14"/>
      <c r="H594" s="14"/>
      <c r="I594" s="14"/>
      <c r="J594" s="14"/>
      <c r="K594" s="208"/>
    </row>
    <row r="595" spans="1:35">
      <c r="A595" s="331"/>
      <c r="B595" s="334"/>
      <c r="C595" s="207"/>
      <c r="D595" s="202"/>
      <c r="E595" s="169">
        <v>2017</v>
      </c>
      <c r="F595" s="79"/>
      <c r="G595" s="14"/>
      <c r="H595" s="14"/>
      <c r="I595" s="14"/>
      <c r="J595" s="14"/>
      <c r="K595" s="208"/>
      <c r="L595" s="115"/>
    </row>
    <row r="596" spans="1:35">
      <c r="A596" s="331"/>
      <c r="B596" s="334"/>
      <c r="C596" s="207"/>
      <c r="D596" s="202"/>
      <c r="E596" s="169">
        <v>2018</v>
      </c>
      <c r="F596" s="79"/>
      <c r="G596" s="14"/>
      <c r="H596" s="14"/>
      <c r="I596" s="14"/>
      <c r="J596" s="14"/>
      <c r="K596" s="208"/>
    </row>
    <row r="597" spans="1:35">
      <c r="A597" s="331"/>
      <c r="B597" s="334"/>
      <c r="C597" s="207"/>
      <c r="D597" s="202"/>
      <c r="E597" s="169">
        <v>2019</v>
      </c>
      <c r="F597" s="79"/>
      <c r="G597" s="14"/>
      <c r="H597" s="14"/>
      <c r="I597" s="14"/>
      <c r="J597" s="14"/>
      <c r="K597" s="208"/>
    </row>
    <row r="598" spans="1:35">
      <c r="A598" s="331"/>
      <c r="B598" s="334"/>
      <c r="C598" s="207"/>
      <c r="D598" s="202"/>
      <c r="E598" s="169">
        <v>2020</v>
      </c>
      <c r="F598" s="79"/>
      <c r="G598" s="14"/>
      <c r="H598" s="14"/>
      <c r="I598" s="14"/>
      <c r="J598" s="14"/>
      <c r="K598" s="208"/>
    </row>
    <row r="599" spans="1:35">
      <c r="A599" s="341"/>
      <c r="B599" s="334"/>
      <c r="C599" s="273"/>
      <c r="D599" s="203"/>
      <c r="E599" s="27" t="s">
        <v>18</v>
      </c>
      <c r="F599" s="80"/>
      <c r="G599" s="23"/>
      <c r="H599" s="23"/>
      <c r="I599" s="23"/>
      <c r="J599" s="23"/>
      <c r="K599" s="208"/>
    </row>
    <row r="600" spans="1:35" ht="15.75" customHeight="1" thickBot="1">
      <c r="A600" s="313" t="s">
        <v>195</v>
      </c>
      <c r="B600" s="314"/>
      <c r="C600" s="314"/>
      <c r="D600" s="314"/>
      <c r="E600" s="6" t="s">
        <v>61</v>
      </c>
      <c r="F600" s="180">
        <f>F592+F599</f>
        <v>914.9</v>
      </c>
      <c r="G600" s="180"/>
      <c r="H600" s="180">
        <f>H592+H599</f>
        <v>0</v>
      </c>
      <c r="I600" s="180">
        <f>I592+I599</f>
        <v>914.9</v>
      </c>
      <c r="J600" s="17"/>
      <c r="K600" s="101"/>
      <c r="M600" s="135"/>
      <c r="N600" s="136"/>
    </row>
    <row r="601" spans="1:35" ht="18" customHeight="1" thickBot="1">
      <c r="A601" s="336" t="s">
        <v>210</v>
      </c>
      <c r="B601" s="337"/>
      <c r="C601" s="337"/>
      <c r="D601" s="337"/>
      <c r="E601" s="337"/>
      <c r="F601" s="337"/>
      <c r="G601" s="337"/>
      <c r="H601" s="337"/>
      <c r="I601" s="337"/>
      <c r="J601" s="337"/>
      <c r="K601" s="338"/>
      <c r="L601" s="65"/>
      <c r="M601" s="65"/>
      <c r="N601" s="65"/>
      <c r="O601" s="65"/>
      <c r="P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A601" s="65"/>
      <c r="AB601" s="65"/>
      <c r="AC601" s="65"/>
      <c r="AD601" s="65"/>
      <c r="AE601" s="65"/>
      <c r="AF601" s="65"/>
      <c r="AG601" s="65"/>
      <c r="AH601" s="65"/>
      <c r="AI601" s="66"/>
    </row>
    <row r="602" spans="1:35" ht="15" thickBot="1">
      <c r="A602" s="310" t="s">
        <v>76</v>
      </c>
      <c r="B602" s="339"/>
      <c r="C602" s="339"/>
      <c r="D602" s="339"/>
      <c r="E602" s="339"/>
      <c r="F602" s="339"/>
      <c r="G602" s="339"/>
      <c r="H602" s="339"/>
      <c r="I602" s="339"/>
      <c r="J602" s="339"/>
      <c r="K602" s="340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81"/>
      <c r="W602" s="81"/>
      <c r="X602" s="81"/>
      <c r="Y602" s="81"/>
      <c r="Z602" s="81"/>
      <c r="AA602" s="81"/>
      <c r="AB602" s="81"/>
      <c r="AC602" s="81"/>
      <c r="AD602" s="81"/>
      <c r="AE602" s="81"/>
      <c r="AF602" s="81"/>
      <c r="AG602" s="81"/>
      <c r="AH602" s="81"/>
      <c r="AI602" s="82"/>
    </row>
    <row r="603" spans="1:35" ht="15">
      <c r="A603" s="345" t="s">
        <v>77</v>
      </c>
      <c r="B603" s="215" t="s">
        <v>96</v>
      </c>
      <c r="C603" s="209" t="s">
        <v>61</v>
      </c>
      <c r="D603" s="208" t="s">
        <v>218</v>
      </c>
      <c r="E603" s="165">
        <v>2015</v>
      </c>
      <c r="F603" s="195">
        <f t="shared" ref="F603:F608" si="63">SUM(G603:I603)</f>
        <v>5</v>
      </c>
      <c r="G603" s="176"/>
      <c r="H603" s="176"/>
      <c r="I603" s="176">
        <v>5</v>
      </c>
      <c r="J603" s="12"/>
      <c r="K603" s="208" t="s">
        <v>179</v>
      </c>
    </row>
    <row r="604" spans="1:35" ht="15">
      <c r="A604" s="331"/>
      <c r="B604" s="205"/>
      <c r="C604" s="343"/>
      <c r="D604" s="202"/>
      <c r="E604" s="169">
        <v>2016</v>
      </c>
      <c r="F604" s="192">
        <f t="shared" si="63"/>
        <v>6</v>
      </c>
      <c r="G604" s="7"/>
      <c r="H604" s="7"/>
      <c r="I604" s="7">
        <v>6</v>
      </c>
      <c r="J604" s="14"/>
      <c r="K604" s="208"/>
    </row>
    <row r="605" spans="1:35" ht="15">
      <c r="A605" s="331"/>
      <c r="B605" s="205"/>
      <c r="C605" s="343"/>
      <c r="D605" s="202"/>
      <c r="E605" s="169">
        <v>2017</v>
      </c>
      <c r="F605" s="192">
        <f t="shared" si="63"/>
        <v>5</v>
      </c>
      <c r="G605" s="7"/>
      <c r="H605" s="7"/>
      <c r="I605" s="7">
        <v>5</v>
      </c>
      <c r="J605" s="14"/>
      <c r="K605" s="208"/>
      <c r="L605" s="108"/>
    </row>
    <row r="606" spans="1:35" ht="15">
      <c r="A606" s="331"/>
      <c r="B606" s="205"/>
      <c r="C606" s="343"/>
      <c r="D606" s="202"/>
      <c r="E606" s="169">
        <v>2018</v>
      </c>
      <c r="F606" s="192">
        <f t="shared" si="63"/>
        <v>7</v>
      </c>
      <c r="G606" s="7"/>
      <c r="H606" s="7"/>
      <c r="I606" s="7">
        <v>7</v>
      </c>
      <c r="J606" s="14"/>
      <c r="K606" s="208"/>
      <c r="L606" s="115"/>
    </row>
    <row r="607" spans="1:35" ht="15">
      <c r="A607" s="331"/>
      <c r="B607" s="205"/>
      <c r="C607" s="343"/>
      <c r="D607" s="202"/>
      <c r="E607" s="169">
        <v>2019</v>
      </c>
      <c r="F607" s="192">
        <f t="shared" si="63"/>
        <v>7.5</v>
      </c>
      <c r="G607" s="7"/>
      <c r="H607" s="7"/>
      <c r="I607" s="7">
        <v>7.5</v>
      </c>
      <c r="J607" s="14"/>
      <c r="K607" s="208"/>
      <c r="L607" s="108"/>
    </row>
    <row r="608" spans="1:35" ht="15">
      <c r="A608" s="331"/>
      <c r="B608" s="205"/>
      <c r="C608" s="343"/>
      <c r="D608" s="202"/>
      <c r="E608" s="169">
        <v>2020</v>
      </c>
      <c r="F608" s="192">
        <f t="shared" si="63"/>
        <v>8</v>
      </c>
      <c r="G608" s="7"/>
      <c r="H608" s="7"/>
      <c r="I608" s="7">
        <v>8</v>
      </c>
      <c r="J608" s="14"/>
      <c r="K608" s="208"/>
    </row>
    <row r="609" spans="1:35" ht="14.25">
      <c r="A609" s="341"/>
      <c r="B609" s="243"/>
      <c r="C609" s="344"/>
      <c r="D609" s="203"/>
      <c r="E609" s="27" t="s">
        <v>18</v>
      </c>
      <c r="F609" s="196">
        <f>SUM(F603:F608)</f>
        <v>38.5</v>
      </c>
      <c r="G609" s="197"/>
      <c r="H609" s="197"/>
      <c r="I609" s="197">
        <f>SUM(I603:I608)</f>
        <v>38.5</v>
      </c>
      <c r="J609" s="23"/>
      <c r="K609" s="209"/>
    </row>
    <row r="610" spans="1:35" ht="15">
      <c r="A610" s="346" t="s">
        <v>79</v>
      </c>
      <c r="B610" s="204" t="s">
        <v>97</v>
      </c>
      <c r="C610" s="342" t="s">
        <v>61</v>
      </c>
      <c r="D610" s="201" t="s">
        <v>218</v>
      </c>
      <c r="E610" s="169">
        <v>2015</v>
      </c>
      <c r="F610" s="191">
        <f t="shared" ref="F610:F615" si="64">SUM(G610:I610)</f>
        <v>13.5</v>
      </c>
      <c r="G610" s="7"/>
      <c r="H610" s="7"/>
      <c r="I610" s="7">
        <v>13.5</v>
      </c>
      <c r="J610" s="14"/>
      <c r="K610" s="201" t="s">
        <v>179</v>
      </c>
    </row>
    <row r="611" spans="1:35" ht="15">
      <c r="A611" s="347"/>
      <c r="B611" s="205"/>
      <c r="C611" s="343"/>
      <c r="D611" s="202"/>
      <c r="E611" s="169">
        <v>2016</v>
      </c>
      <c r="F611" s="191">
        <f t="shared" si="64"/>
        <v>14</v>
      </c>
      <c r="G611" s="7"/>
      <c r="H611" s="7"/>
      <c r="I611" s="7">
        <v>14</v>
      </c>
      <c r="J611" s="14"/>
      <c r="K611" s="208"/>
    </row>
    <row r="612" spans="1:35" ht="15">
      <c r="A612" s="347"/>
      <c r="B612" s="205"/>
      <c r="C612" s="343"/>
      <c r="D612" s="202"/>
      <c r="E612" s="169">
        <v>2017</v>
      </c>
      <c r="F612" s="191">
        <f t="shared" si="64"/>
        <v>11.3</v>
      </c>
      <c r="G612" s="7"/>
      <c r="H612" s="7"/>
      <c r="I612" s="7">
        <v>11.3</v>
      </c>
      <c r="J612" s="14"/>
      <c r="K612" s="208"/>
      <c r="L612" s="108"/>
    </row>
    <row r="613" spans="1:35" ht="15">
      <c r="A613" s="347"/>
      <c r="B613" s="205"/>
      <c r="C613" s="343"/>
      <c r="D613" s="202"/>
      <c r="E613" s="169">
        <v>2018</v>
      </c>
      <c r="F613" s="191">
        <f t="shared" si="64"/>
        <v>15</v>
      </c>
      <c r="G613" s="7"/>
      <c r="H613" s="7"/>
      <c r="I613" s="7">
        <v>15</v>
      </c>
      <c r="J613" s="14"/>
      <c r="K613" s="208"/>
      <c r="L613" s="115"/>
    </row>
    <row r="614" spans="1:35" ht="15">
      <c r="A614" s="347"/>
      <c r="B614" s="205"/>
      <c r="C614" s="343"/>
      <c r="D614" s="202"/>
      <c r="E614" s="169">
        <v>2019</v>
      </c>
      <c r="F614" s="191">
        <f t="shared" si="64"/>
        <v>15.5</v>
      </c>
      <c r="G614" s="7"/>
      <c r="H614" s="7"/>
      <c r="I614" s="7">
        <v>15.5</v>
      </c>
      <c r="J614" s="14"/>
      <c r="K614" s="208"/>
      <c r="L614" s="108"/>
    </row>
    <row r="615" spans="1:35" ht="15">
      <c r="A615" s="347"/>
      <c r="B615" s="205"/>
      <c r="C615" s="343"/>
      <c r="D615" s="202"/>
      <c r="E615" s="169">
        <v>2020</v>
      </c>
      <c r="F615" s="191">
        <f t="shared" si="64"/>
        <v>16</v>
      </c>
      <c r="G615" s="7"/>
      <c r="H615" s="7"/>
      <c r="I615" s="7">
        <v>16</v>
      </c>
      <c r="J615" s="14"/>
      <c r="K615" s="208"/>
    </row>
    <row r="616" spans="1:35" ht="14.25">
      <c r="A616" s="347"/>
      <c r="B616" s="205"/>
      <c r="C616" s="343"/>
      <c r="D616" s="203"/>
      <c r="E616" s="19" t="s">
        <v>18</v>
      </c>
      <c r="F616" s="152">
        <f>SUM(F610:F615)</f>
        <v>85.3</v>
      </c>
      <c r="G616" s="8"/>
      <c r="H616" s="8"/>
      <c r="I616" s="8">
        <f>SUM(I610:I615)</f>
        <v>85.3</v>
      </c>
      <c r="J616" s="14"/>
      <c r="K616" s="208"/>
    </row>
    <row r="617" spans="1:35" ht="14.25" customHeight="1" thickBot="1">
      <c r="A617" s="313" t="s">
        <v>197</v>
      </c>
      <c r="B617" s="314"/>
      <c r="C617" s="314"/>
      <c r="D617" s="314"/>
      <c r="E617" s="6" t="s">
        <v>61</v>
      </c>
      <c r="F617" s="180">
        <f>SUM(G617:I617)</f>
        <v>123.8</v>
      </c>
      <c r="G617" s="180"/>
      <c r="H617" s="180">
        <f>H616+H609</f>
        <v>0</v>
      </c>
      <c r="I617" s="180">
        <f>I616+I609</f>
        <v>123.8</v>
      </c>
      <c r="J617" s="17"/>
      <c r="K617" s="162"/>
      <c r="L617" s="135"/>
      <c r="M617" s="136"/>
    </row>
    <row r="618" spans="1:35" ht="15" thickBot="1">
      <c r="A618" s="241" t="s">
        <v>211</v>
      </c>
      <c r="B618" s="205"/>
      <c r="C618" s="205"/>
      <c r="D618" s="205"/>
      <c r="E618" s="205"/>
      <c r="F618" s="205"/>
      <c r="G618" s="205"/>
      <c r="H618" s="205"/>
      <c r="I618" s="205"/>
      <c r="J618" s="205"/>
      <c r="K618" s="205"/>
      <c r="L618" s="65"/>
      <c r="M618" s="65"/>
      <c r="N618" s="65"/>
      <c r="O618" s="65"/>
      <c r="P618" s="65"/>
      <c r="Q618" s="65"/>
      <c r="R618" s="65"/>
      <c r="S618" s="65"/>
      <c r="T618" s="65"/>
      <c r="U618" s="65"/>
      <c r="V618" s="65"/>
      <c r="W618" s="65"/>
      <c r="X618" s="65"/>
      <c r="Y618" s="65"/>
      <c r="Z618" s="65"/>
      <c r="AA618" s="65"/>
      <c r="AB618" s="65"/>
      <c r="AC618" s="65"/>
      <c r="AD618" s="65"/>
      <c r="AE618" s="65"/>
      <c r="AF618" s="65"/>
      <c r="AG618" s="65"/>
      <c r="AH618" s="65"/>
      <c r="AI618" s="66"/>
    </row>
    <row r="619" spans="1:35" ht="15" thickBot="1">
      <c r="A619" s="241" t="s">
        <v>98</v>
      </c>
      <c r="B619" s="205"/>
      <c r="C619" s="205"/>
      <c r="D619" s="205"/>
      <c r="E619" s="205"/>
      <c r="F619" s="205"/>
      <c r="G619" s="205"/>
      <c r="H619" s="205"/>
      <c r="I619" s="205"/>
      <c r="J619" s="205"/>
      <c r="K619" s="205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  <c r="AC619" s="77"/>
      <c r="AD619" s="77"/>
      <c r="AE619" s="77"/>
      <c r="AF619" s="77"/>
      <c r="AG619" s="77"/>
      <c r="AH619" s="77"/>
      <c r="AI619" s="78"/>
    </row>
    <row r="620" spans="1:35" ht="12.75" customHeight="1">
      <c r="A620" s="210" t="s">
        <v>99</v>
      </c>
      <c r="B620" s="333" t="s">
        <v>225</v>
      </c>
      <c r="C620" s="342" t="s">
        <v>61</v>
      </c>
      <c r="D620" s="201" t="s">
        <v>218</v>
      </c>
      <c r="E620" s="169">
        <v>2015</v>
      </c>
      <c r="F620" s="192">
        <f t="shared" ref="F620:F625" si="65">SUM(G620:I620)</f>
        <v>230</v>
      </c>
      <c r="G620" s="7"/>
      <c r="H620" s="7"/>
      <c r="I620" s="7">
        <v>230</v>
      </c>
      <c r="J620" s="14"/>
      <c r="K620" s="201" t="s">
        <v>182</v>
      </c>
    </row>
    <row r="621" spans="1:35" ht="15">
      <c r="A621" s="211"/>
      <c r="B621" s="334"/>
      <c r="C621" s="343"/>
      <c r="D621" s="202"/>
      <c r="E621" s="169">
        <v>2016</v>
      </c>
      <c r="F621" s="192">
        <f t="shared" si="65"/>
        <v>245</v>
      </c>
      <c r="G621" s="7"/>
      <c r="H621" s="7"/>
      <c r="I621" s="7">
        <v>245</v>
      </c>
      <c r="J621" s="14"/>
      <c r="K621" s="208"/>
    </row>
    <row r="622" spans="1:35" ht="15">
      <c r="A622" s="211"/>
      <c r="B622" s="334"/>
      <c r="C622" s="343"/>
      <c r="D622" s="202"/>
      <c r="E622" s="169">
        <v>2017</v>
      </c>
      <c r="F622" s="192">
        <f t="shared" si="65"/>
        <v>261.3</v>
      </c>
      <c r="G622" s="7"/>
      <c r="H622" s="7"/>
      <c r="I622" s="7">
        <f>210+51.3</f>
        <v>261.3</v>
      </c>
      <c r="J622" s="14"/>
      <c r="K622" s="208"/>
      <c r="L622" s="108"/>
    </row>
    <row r="623" spans="1:35" ht="15">
      <c r="A623" s="211"/>
      <c r="B623" s="334"/>
      <c r="C623" s="343"/>
      <c r="D623" s="202"/>
      <c r="E623" s="169">
        <v>2018</v>
      </c>
      <c r="F623" s="192">
        <f t="shared" si="65"/>
        <v>0</v>
      </c>
      <c r="G623" s="7"/>
      <c r="H623" s="7"/>
      <c r="I623" s="7">
        <v>0</v>
      </c>
      <c r="J623" s="14"/>
      <c r="K623" s="208"/>
      <c r="L623" s="115"/>
    </row>
    <row r="624" spans="1:35" ht="15">
      <c r="A624" s="211"/>
      <c r="B624" s="334"/>
      <c r="C624" s="343"/>
      <c r="D624" s="202"/>
      <c r="E624" s="169">
        <v>2019</v>
      </c>
      <c r="F624" s="192">
        <f t="shared" si="65"/>
        <v>290</v>
      </c>
      <c r="G624" s="7"/>
      <c r="H624" s="7"/>
      <c r="I624" s="7">
        <v>290</v>
      </c>
      <c r="J624" s="14"/>
      <c r="K624" s="208"/>
      <c r="L624" s="108"/>
    </row>
    <row r="625" spans="1:12" ht="15">
      <c r="A625" s="211"/>
      <c r="B625" s="334"/>
      <c r="C625" s="343"/>
      <c r="D625" s="202"/>
      <c r="E625" s="169">
        <v>2020</v>
      </c>
      <c r="F625" s="192">
        <f t="shared" si="65"/>
        <v>0</v>
      </c>
      <c r="G625" s="7"/>
      <c r="H625" s="7"/>
      <c r="I625" s="7">
        <v>0</v>
      </c>
      <c r="J625" s="14"/>
      <c r="K625" s="208"/>
    </row>
    <row r="626" spans="1:12" ht="15" thickBot="1">
      <c r="A626" s="211"/>
      <c r="B626" s="335"/>
      <c r="C626" s="343"/>
      <c r="D626" s="203"/>
      <c r="E626" s="19" t="s">
        <v>18</v>
      </c>
      <c r="F626" s="194">
        <f>SUM(F620:F625)</f>
        <v>1026.3</v>
      </c>
      <c r="G626" s="8"/>
      <c r="H626" s="8"/>
      <c r="I626" s="8">
        <f>SUM(I620:I625)</f>
        <v>1026.3</v>
      </c>
      <c r="J626" s="14"/>
      <c r="K626" s="208"/>
    </row>
    <row r="627" spans="1:12" ht="15">
      <c r="A627" s="330" t="s">
        <v>302</v>
      </c>
      <c r="B627" s="333" t="s">
        <v>227</v>
      </c>
      <c r="C627" s="342" t="s">
        <v>61</v>
      </c>
      <c r="D627" s="201" t="s">
        <v>218</v>
      </c>
      <c r="E627" s="169">
        <v>2015</v>
      </c>
      <c r="F627" s="192">
        <f t="shared" ref="F627:F632" si="66">SUM(G627:I627)</f>
        <v>80</v>
      </c>
      <c r="G627" s="7"/>
      <c r="H627" s="7"/>
      <c r="I627" s="7">
        <v>80</v>
      </c>
      <c r="J627" s="14"/>
      <c r="K627" s="208"/>
    </row>
    <row r="628" spans="1:12" ht="15">
      <c r="A628" s="331"/>
      <c r="B628" s="334"/>
      <c r="C628" s="343"/>
      <c r="D628" s="202"/>
      <c r="E628" s="169">
        <v>2016</v>
      </c>
      <c r="F628" s="192">
        <f t="shared" si="66"/>
        <v>85</v>
      </c>
      <c r="G628" s="7"/>
      <c r="H628" s="7"/>
      <c r="I628" s="7">
        <v>85</v>
      </c>
      <c r="J628" s="14"/>
      <c r="K628" s="208"/>
    </row>
    <row r="629" spans="1:12" ht="15">
      <c r="A629" s="331"/>
      <c r="B629" s="334"/>
      <c r="C629" s="343"/>
      <c r="D629" s="202"/>
      <c r="E629" s="169">
        <v>2017</v>
      </c>
      <c r="F629" s="192">
        <f t="shared" si="66"/>
        <v>60</v>
      </c>
      <c r="G629" s="7"/>
      <c r="H629" s="7"/>
      <c r="I629" s="7">
        <v>60</v>
      </c>
      <c r="J629" s="14"/>
      <c r="K629" s="208"/>
      <c r="L629" s="115"/>
    </row>
    <row r="630" spans="1:12" ht="15">
      <c r="A630" s="331"/>
      <c r="B630" s="334"/>
      <c r="C630" s="343"/>
      <c r="D630" s="202"/>
      <c r="E630" s="169">
        <v>2018</v>
      </c>
      <c r="F630" s="192">
        <f t="shared" si="66"/>
        <v>95</v>
      </c>
      <c r="G630" s="7"/>
      <c r="H630" s="7"/>
      <c r="I630" s="7">
        <v>95</v>
      </c>
      <c r="J630" s="14"/>
      <c r="K630" s="208"/>
      <c r="L630" s="108"/>
    </row>
    <row r="631" spans="1:12" ht="15">
      <c r="A631" s="331"/>
      <c r="B631" s="334"/>
      <c r="C631" s="343"/>
      <c r="D631" s="202"/>
      <c r="E631" s="169">
        <v>2019</v>
      </c>
      <c r="F631" s="192">
        <f t="shared" si="66"/>
        <v>100</v>
      </c>
      <c r="G631" s="7"/>
      <c r="H631" s="7"/>
      <c r="I631" s="7">
        <v>100</v>
      </c>
      <c r="J631" s="14"/>
      <c r="K631" s="208"/>
      <c r="L631" s="108"/>
    </row>
    <row r="632" spans="1:12" ht="15">
      <c r="A632" s="331"/>
      <c r="B632" s="334"/>
      <c r="C632" s="343"/>
      <c r="D632" s="202"/>
      <c r="E632" s="169">
        <v>2020</v>
      </c>
      <c r="F632" s="192">
        <f t="shared" si="66"/>
        <v>0</v>
      </c>
      <c r="G632" s="7"/>
      <c r="H632" s="7"/>
      <c r="I632" s="7">
        <v>0</v>
      </c>
      <c r="J632" s="14"/>
      <c r="K632" s="208"/>
    </row>
    <row r="633" spans="1:12" ht="15" thickBot="1">
      <c r="A633" s="331"/>
      <c r="B633" s="335"/>
      <c r="C633" s="343"/>
      <c r="D633" s="203"/>
      <c r="E633" s="19" t="s">
        <v>18</v>
      </c>
      <c r="F633" s="194">
        <f>SUM(F627:F632)</f>
        <v>420</v>
      </c>
      <c r="G633" s="8"/>
      <c r="H633" s="8"/>
      <c r="I633" s="8">
        <f>SUM(I627:I632)</f>
        <v>420</v>
      </c>
      <c r="J633" s="14"/>
      <c r="K633" s="209"/>
    </row>
    <row r="634" spans="1:12" ht="15">
      <c r="A634" s="330" t="s">
        <v>303</v>
      </c>
      <c r="B634" s="356" t="s">
        <v>226</v>
      </c>
      <c r="C634" s="342" t="s">
        <v>61</v>
      </c>
      <c r="D634" s="201" t="s">
        <v>218</v>
      </c>
      <c r="E634" s="169">
        <v>2015</v>
      </c>
      <c r="F634" s="192">
        <f t="shared" ref="F634:F639" si="67">SUM(G634:I634)</f>
        <v>47</v>
      </c>
      <c r="G634" s="7"/>
      <c r="H634" s="7"/>
      <c r="I634" s="7">
        <v>47</v>
      </c>
      <c r="J634" s="83"/>
      <c r="K634" s="201" t="s">
        <v>242</v>
      </c>
    </row>
    <row r="635" spans="1:12" ht="15">
      <c r="A635" s="331"/>
      <c r="B635" s="357"/>
      <c r="C635" s="343"/>
      <c r="D635" s="202"/>
      <c r="E635" s="169">
        <v>2016</v>
      </c>
      <c r="F635" s="192">
        <f t="shared" si="67"/>
        <v>50</v>
      </c>
      <c r="G635" s="7"/>
      <c r="H635" s="7"/>
      <c r="I635" s="7">
        <v>50</v>
      </c>
      <c r="J635" s="83"/>
      <c r="K635" s="208"/>
    </row>
    <row r="636" spans="1:12" ht="15">
      <c r="A636" s="331"/>
      <c r="B636" s="357"/>
      <c r="C636" s="343"/>
      <c r="D636" s="202"/>
      <c r="E636" s="169">
        <v>2017</v>
      </c>
      <c r="F636" s="192">
        <f t="shared" si="67"/>
        <v>40</v>
      </c>
      <c r="G636" s="7"/>
      <c r="H636" s="7"/>
      <c r="I636" s="7">
        <v>40</v>
      </c>
      <c r="J636" s="83"/>
      <c r="K636" s="208"/>
      <c r="L636" s="108"/>
    </row>
    <row r="637" spans="1:12" ht="15">
      <c r="A637" s="331"/>
      <c r="B637" s="357"/>
      <c r="C637" s="343"/>
      <c r="D637" s="202"/>
      <c r="E637" s="169">
        <v>2018</v>
      </c>
      <c r="F637" s="192">
        <f t="shared" si="67"/>
        <v>56</v>
      </c>
      <c r="G637" s="7"/>
      <c r="H637" s="7"/>
      <c r="I637" s="7">
        <v>56</v>
      </c>
      <c r="J637" s="83"/>
      <c r="K637" s="208"/>
      <c r="L637" s="108"/>
    </row>
    <row r="638" spans="1:12" ht="15">
      <c r="A638" s="331"/>
      <c r="B638" s="357"/>
      <c r="C638" s="343"/>
      <c r="D638" s="202"/>
      <c r="E638" s="169">
        <v>2019</v>
      </c>
      <c r="F638" s="192">
        <f t="shared" si="67"/>
        <v>59</v>
      </c>
      <c r="G638" s="7"/>
      <c r="H638" s="7"/>
      <c r="I638" s="7">
        <v>59</v>
      </c>
      <c r="J638" s="83"/>
      <c r="K638" s="208"/>
      <c r="L638" s="115"/>
    </row>
    <row r="639" spans="1:12" ht="15">
      <c r="A639" s="331"/>
      <c r="B639" s="357"/>
      <c r="C639" s="343"/>
      <c r="D639" s="202"/>
      <c r="E639" s="169">
        <v>2020</v>
      </c>
      <c r="F639" s="192">
        <f t="shared" si="67"/>
        <v>42</v>
      </c>
      <c r="G639" s="7"/>
      <c r="H639" s="7"/>
      <c r="I639" s="7">
        <v>42</v>
      </c>
      <c r="J639" s="83"/>
      <c r="K639" s="208"/>
    </row>
    <row r="640" spans="1:12" ht="15.75" thickBot="1">
      <c r="A640" s="331"/>
      <c r="B640" s="358"/>
      <c r="C640" s="343"/>
      <c r="D640" s="203"/>
      <c r="E640" s="19" t="s">
        <v>18</v>
      </c>
      <c r="F640" s="194">
        <f>SUM(F634:F639)</f>
        <v>294</v>
      </c>
      <c r="G640" s="7"/>
      <c r="H640" s="7"/>
      <c r="I640" s="8">
        <f>SUM(I634:I639)</f>
        <v>294</v>
      </c>
      <c r="J640" s="83"/>
      <c r="K640" s="208"/>
    </row>
    <row r="641" spans="1:12" ht="15">
      <c r="A641" s="330" t="s">
        <v>304</v>
      </c>
      <c r="B641" s="333" t="s">
        <v>100</v>
      </c>
      <c r="C641" s="342" t="s">
        <v>61</v>
      </c>
      <c r="D641" s="201" t="s">
        <v>218</v>
      </c>
      <c r="E641" s="169">
        <v>2015</v>
      </c>
      <c r="F641" s="192">
        <f t="shared" ref="F641:F646" si="68">SUM(G641:I641)</f>
        <v>40.6</v>
      </c>
      <c r="G641" s="7"/>
      <c r="H641" s="7"/>
      <c r="I641" s="7">
        <v>40.6</v>
      </c>
      <c r="J641" s="14"/>
      <c r="K641" s="208"/>
    </row>
    <row r="642" spans="1:12" ht="15">
      <c r="A642" s="331"/>
      <c r="B642" s="334"/>
      <c r="C642" s="343"/>
      <c r="D642" s="202"/>
      <c r="E642" s="169">
        <v>2016</v>
      </c>
      <c r="F642" s="192">
        <f t="shared" si="68"/>
        <v>50</v>
      </c>
      <c r="G642" s="7"/>
      <c r="H642" s="7"/>
      <c r="I642" s="7">
        <v>50</v>
      </c>
      <c r="J642" s="14"/>
      <c r="K642" s="208"/>
    </row>
    <row r="643" spans="1:12" ht="15">
      <c r="A643" s="331"/>
      <c r="B643" s="334"/>
      <c r="C643" s="343"/>
      <c r="D643" s="202"/>
      <c r="E643" s="169">
        <v>2017</v>
      </c>
      <c r="F643" s="192">
        <f t="shared" si="68"/>
        <v>40</v>
      </c>
      <c r="G643" s="7"/>
      <c r="H643" s="7"/>
      <c r="I643" s="7">
        <v>40</v>
      </c>
      <c r="J643" s="14"/>
      <c r="K643" s="208"/>
      <c r="L643" s="108"/>
    </row>
    <row r="644" spans="1:12" ht="15">
      <c r="A644" s="331"/>
      <c r="B644" s="334"/>
      <c r="C644" s="343"/>
      <c r="D644" s="202"/>
      <c r="E644" s="169">
        <v>2018</v>
      </c>
      <c r="F644" s="192">
        <f t="shared" si="68"/>
        <v>54</v>
      </c>
      <c r="G644" s="7"/>
      <c r="H644" s="7"/>
      <c r="I644" s="7">
        <v>54</v>
      </c>
      <c r="J644" s="14"/>
      <c r="K644" s="208"/>
      <c r="L644" s="108"/>
    </row>
    <row r="645" spans="1:12" ht="15">
      <c r="A645" s="331"/>
      <c r="B645" s="334"/>
      <c r="C645" s="343"/>
      <c r="D645" s="202"/>
      <c r="E645" s="169">
        <v>2019</v>
      </c>
      <c r="F645" s="192">
        <f t="shared" si="68"/>
        <v>56</v>
      </c>
      <c r="G645" s="7"/>
      <c r="H645" s="7"/>
      <c r="I645" s="7">
        <v>56</v>
      </c>
      <c r="J645" s="14"/>
      <c r="K645" s="208"/>
      <c r="L645" s="108"/>
    </row>
    <row r="646" spans="1:12" ht="15">
      <c r="A646" s="331"/>
      <c r="B646" s="334"/>
      <c r="C646" s="343"/>
      <c r="D646" s="202"/>
      <c r="E646" s="169">
        <v>2020</v>
      </c>
      <c r="F646" s="192">
        <f t="shared" si="68"/>
        <v>58</v>
      </c>
      <c r="G646" s="7"/>
      <c r="H646" s="7"/>
      <c r="I646" s="7">
        <v>58</v>
      </c>
      <c r="J646" s="14"/>
      <c r="K646" s="208"/>
      <c r="L646" s="115"/>
    </row>
    <row r="647" spans="1:12" ht="15" thickBot="1">
      <c r="A647" s="331"/>
      <c r="B647" s="335"/>
      <c r="C647" s="343"/>
      <c r="D647" s="203"/>
      <c r="E647" s="19" t="s">
        <v>18</v>
      </c>
      <c r="F647" s="194">
        <f>SUM(F641:F646)</f>
        <v>298.60000000000002</v>
      </c>
      <c r="G647" s="8"/>
      <c r="H647" s="8"/>
      <c r="I647" s="8">
        <f>SUM(I641:I646)</f>
        <v>298.60000000000002</v>
      </c>
      <c r="J647" s="14"/>
      <c r="K647" s="208"/>
    </row>
    <row r="648" spans="1:12" ht="15">
      <c r="A648" s="330" t="s">
        <v>305</v>
      </c>
      <c r="B648" s="333" t="s">
        <v>101</v>
      </c>
      <c r="C648" s="342" t="s">
        <v>61</v>
      </c>
      <c r="D648" s="201" t="s">
        <v>218</v>
      </c>
      <c r="E648" s="169">
        <v>2015</v>
      </c>
      <c r="F648" s="192">
        <f t="shared" ref="F648:F653" si="69">SUM(G648:I648)</f>
        <v>5.0999999999999996</v>
      </c>
      <c r="G648" s="7"/>
      <c r="H648" s="7"/>
      <c r="I648" s="7">
        <v>5.0999999999999996</v>
      </c>
      <c r="J648" s="14"/>
      <c r="K648" s="208"/>
    </row>
    <row r="649" spans="1:12" ht="15">
      <c r="A649" s="331"/>
      <c r="B649" s="334"/>
      <c r="C649" s="343"/>
      <c r="D649" s="202"/>
      <c r="E649" s="169">
        <v>2016</v>
      </c>
      <c r="F649" s="192">
        <f t="shared" si="69"/>
        <v>5.3</v>
      </c>
      <c r="G649" s="7"/>
      <c r="H649" s="7"/>
      <c r="I649" s="7">
        <v>5.3</v>
      </c>
      <c r="J649" s="14"/>
      <c r="K649" s="208"/>
    </row>
    <row r="650" spans="1:12" ht="15">
      <c r="A650" s="331"/>
      <c r="B650" s="334"/>
      <c r="C650" s="343"/>
      <c r="D650" s="202"/>
      <c r="E650" s="169">
        <v>2017</v>
      </c>
      <c r="F650" s="192">
        <f t="shared" si="69"/>
        <v>5</v>
      </c>
      <c r="G650" s="7"/>
      <c r="H650" s="7"/>
      <c r="I650" s="7">
        <v>5</v>
      </c>
      <c r="J650" s="14"/>
      <c r="K650" s="208"/>
      <c r="L650" s="108"/>
    </row>
    <row r="651" spans="1:12" ht="15">
      <c r="A651" s="331"/>
      <c r="B651" s="334"/>
      <c r="C651" s="343"/>
      <c r="D651" s="202"/>
      <c r="E651" s="169">
        <v>2018</v>
      </c>
      <c r="F651" s="192">
        <f t="shared" si="69"/>
        <v>0</v>
      </c>
      <c r="G651" s="7"/>
      <c r="H651" s="7"/>
      <c r="I651" s="7">
        <v>0</v>
      </c>
      <c r="J651" s="14"/>
      <c r="K651" s="208"/>
      <c r="L651" s="115"/>
    </row>
    <row r="652" spans="1:12" ht="15">
      <c r="A652" s="331"/>
      <c r="B652" s="334"/>
      <c r="C652" s="343"/>
      <c r="D652" s="202"/>
      <c r="E652" s="169">
        <v>2019</v>
      </c>
      <c r="F652" s="192">
        <f t="shared" si="69"/>
        <v>5.9</v>
      </c>
      <c r="G652" s="7"/>
      <c r="H652" s="7"/>
      <c r="I652" s="7">
        <v>5.9</v>
      </c>
      <c r="J652" s="14"/>
      <c r="K652" s="208"/>
      <c r="L652" s="108"/>
    </row>
    <row r="653" spans="1:12" ht="15">
      <c r="A653" s="331"/>
      <c r="B653" s="334"/>
      <c r="C653" s="343"/>
      <c r="D653" s="202"/>
      <c r="E653" s="169">
        <v>2020</v>
      </c>
      <c r="F653" s="192">
        <f t="shared" si="69"/>
        <v>0</v>
      </c>
      <c r="G653" s="7"/>
      <c r="H653" s="7"/>
      <c r="I653" s="7">
        <v>0</v>
      </c>
      <c r="J653" s="14"/>
      <c r="K653" s="208"/>
    </row>
    <row r="654" spans="1:12" ht="14.25">
      <c r="A654" s="331"/>
      <c r="B654" s="334"/>
      <c r="C654" s="344"/>
      <c r="D654" s="203"/>
      <c r="E654" s="19" t="s">
        <v>18</v>
      </c>
      <c r="F654" s="194">
        <f>SUM(F648:F653)</f>
        <v>21.299999999999997</v>
      </c>
      <c r="G654" s="8"/>
      <c r="H654" s="8"/>
      <c r="I654" s="8">
        <f>SUM(I648:I653)</f>
        <v>21.299999999999997</v>
      </c>
      <c r="J654" s="14"/>
      <c r="K654" s="208"/>
    </row>
    <row r="655" spans="1:12" ht="15">
      <c r="A655" s="330" t="s">
        <v>306</v>
      </c>
      <c r="B655" s="204" t="s">
        <v>102</v>
      </c>
      <c r="C655" s="342" t="s">
        <v>61</v>
      </c>
      <c r="D655" s="201" t="s">
        <v>218</v>
      </c>
      <c r="E655" s="169">
        <v>2015</v>
      </c>
      <c r="F655" s="192">
        <f t="shared" ref="F655:F660" si="70">SUM(G655:I655)</f>
        <v>4.5</v>
      </c>
      <c r="G655" s="7"/>
      <c r="H655" s="7"/>
      <c r="I655" s="7">
        <v>4.5</v>
      </c>
      <c r="J655" s="14"/>
      <c r="K655" s="208"/>
    </row>
    <row r="656" spans="1:12" ht="15">
      <c r="A656" s="331"/>
      <c r="B656" s="205"/>
      <c r="C656" s="343"/>
      <c r="D656" s="202"/>
      <c r="E656" s="169">
        <v>2016</v>
      </c>
      <c r="F656" s="192">
        <f t="shared" si="70"/>
        <v>4.5999999999999996</v>
      </c>
      <c r="G656" s="7"/>
      <c r="H656" s="7"/>
      <c r="I656" s="7">
        <v>4.5999999999999996</v>
      </c>
      <c r="J656" s="14"/>
      <c r="K656" s="208"/>
    </row>
    <row r="657" spans="1:19" ht="15">
      <c r="A657" s="331"/>
      <c r="B657" s="205"/>
      <c r="C657" s="343"/>
      <c r="D657" s="202"/>
      <c r="E657" s="169">
        <v>2017</v>
      </c>
      <c r="F657" s="192">
        <f t="shared" si="70"/>
        <v>4</v>
      </c>
      <c r="G657" s="7"/>
      <c r="H657" s="7"/>
      <c r="I657" s="7">
        <v>4</v>
      </c>
      <c r="J657" s="14"/>
      <c r="K657" s="208"/>
      <c r="L657" s="115"/>
    </row>
    <row r="658" spans="1:19" ht="15">
      <c r="A658" s="331"/>
      <c r="B658" s="205"/>
      <c r="C658" s="343"/>
      <c r="D658" s="202"/>
      <c r="E658" s="169">
        <v>2018</v>
      </c>
      <c r="F658" s="192">
        <f t="shared" si="70"/>
        <v>0</v>
      </c>
      <c r="G658" s="7"/>
      <c r="H658" s="7"/>
      <c r="I658" s="7">
        <v>0</v>
      </c>
      <c r="J658" s="14"/>
      <c r="K658" s="208"/>
      <c r="L658" s="108"/>
    </row>
    <row r="659" spans="1:19" ht="15">
      <c r="A659" s="331"/>
      <c r="B659" s="205"/>
      <c r="C659" s="343"/>
      <c r="D659" s="202"/>
      <c r="E659" s="169">
        <v>2019</v>
      </c>
      <c r="F659" s="192">
        <f t="shared" si="70"/>
        <v>4.9000000000000004</v>
      </c>
      <c r="G659" s="7"/>
      <c r="H659" s="7"/>
      <c r="I659" s="7">
        <v>4.9000000000000004</v>
      </c>
      <c r="J659" s="14"/>
      <c r="K659" s="208"/>
      <c r="L659" s="108"/>
    </row>
    <row r="660" spans="1:19" ht="15">
      <c r="A660" s="331"/>
      <c r="B660" s="205"/>
      <c r="C660" s="343"/>
      <c r="D660" s="202"/>
      <c r="E660" s="169">
        <v>2020</v>
      </c>
      <c r="F660" s="192">
        <f t="shared" si="70"/>
        <v>0</v>
      </c>
      <c r="G660" s="7"/>
      <c r="H660" s="7"/>
      <c r="I660" s="7">
        <v>0</v>
      </c>
      <c r="J660" s="14"/>
      <c r="K660" s="208"/>
    </row>
    <row r="661" spans="1:19" ht="14.25">
      <c r="A661" s="331"/>
      <c r="B661" s="205"/>
      <c r="C661" s="343"/>
      <c r="D661" s="203"/>
      <c r="E661" s="19" t="s">
        <v>18</v>
      </c>
      <c r="F661" s="194">
        <f>SUM(F655:F660)</f>
        <v>18</v>
      </c>
      <c r="G661" s="8"/>
      <c r="H661" s="8"/>
      <c r="I661" s="8">
        <f>SUM(I655:I660)</f>
        <v>18</v>
      </c>
      <c r="J661" s="14"/>
      <c r="K661" s="209"/>
    </row>
    <row r="662" spans="1:19" ht="15">
      <c r="A662" s="330" t="s">
        <v>307</v>
      </c>
      <c r="B662" s="204" t="s">
        <v>0</v>
      </c>
      <c r="C662" s="342" t="s">
        <v>61</v>
      </c>
      <c r="D662" s="201" t="s">
        <v>218</v>
      </c>
      <c r="E662" s="169">
        <v>2015</v>
      </c>
      <c r="F662" s="198"/>
      <c r="G662" s="199"/>
      <c r="H662" s="199"/>
      <c r="I662" s="199"/>
      <c r="J662" s="2"/>
      <c r="K662" s="201" t="s">
        <v>183</v>
      </c>
    </row>
    <row r="663" spans="1:19" ht="15">
      <c r="A663" s="331"/>
      <c r="B663" s="205"/>
      <c r="C663" s="343"/>
      <c r="D663" s="202"/>
      <c r="E663" s="169">
        <v>2016</v>
      </c>
      <c r="F663" s="198"/>
      <c r="G663" s="199"/>
      <c r="H663" s="199"/>
      <c r="I663" s="199"/>
      <c r="J663" s="2"/>
      <c r="K663" s="208"/>
    </row>
    <row r="664" spans="1:19" ht="15">
      <c r="A664" s="331"/>
      <c r="B664" s="205"/>
      <c r="C664" s="343"/>
      <c r="D664" s="202"/>
      <c r="E664" s="169">
        <v>2017</v>
      </c>
      <c r="F664" s="198"/>
      <c r="G664" s="199"/>
      <c r="H664" s="199"/>
      <c r="I664" s="199"/>
      <c r="J664" s="2"/>
      <c r="K664" s="208"/>
    </row>
    <row r="665" spans="1:19" ht="15">
      <c r="A665" s="331"/>
      <c r="B665" s="205"/>
      <c r="C665" s="343"/>
      <c r="D665" s="202"/>
      <c r="E665" s="169">
        <v>2018</v>
      </c>
      <c r="F665" s="198"/>
      <c r="G665" s="199"/>
      <c r="H665" s="199"/>
      <c r="I665" s="199"/>
      <c r="J665" s="2"/>
      <c r="K665" s="208"/>
      <c r="L665" s="144"/>
      <c r="M665" s="136"/>
    </row>
    <row r="666" spans="1:19" ht="15">
      <c r="A666" s="331"/>
      <c r="B666" s="205"/>
      <c r="C666" s="343"/>
      <c r="D666" s="202"/>
      <c r="E666" s="169">
        <v>2019</v>
      </c>
      <c r="F666" s="198"/>
      <c r="G666" s="199"/>
      <c r="H666" s="199"/>
      <c r="I666" s="199"/>
      <c r="J666" s="2"/>
      <c r="K666" s="208"/>
    </row>
    <row r="667" spans="1:19" ht="15">
      <c r="A667" s="331"/>
      <c r="B667" s="205"/>
      <c r="C667" s="343"/>
      <c r="D667" s="202"/>
      <c r="E667" s="169">
        <v>2020</v>
      </c>
      <c r="F667" s="198"/>
      <c r="G667" s="199"/>
      <c r="H667" s="199"/>
      <c r="I667" s="199"/>
      <c r="J667" s="2"/>
      <c r="K667" s="208"/>
    </row>
    <row r="668" spans="1:19" ht="15">
      <c r="A668" s="341"/>
      <c r="B668" s="205"/>
      <c r="C668" s="343"/>
      <c r="D668" s="203"/>
      <c r="E668" s="19" t="s">
        <v>18</v>
      </c>
      <c r="F668" s="198"/>
      <c r="G668" s="199"/>
      <c r="H668" s="199"/>
      <c r="I668" s="199"/>
      <c r="J668" s="2"/>
      <c r="K668" s="209"/>
      <c r="P668" s="108" t="s">
        <v>336</v>
      </c>
    </row>
    <row r="669" spans="1:19" ht="15" customHeight="1" thickBot="1">
      <c r="A669" s="332" t="s">
        <v>199</v>
      </c>
      <c r="B669" s="327"/>
      <c r="C669" s="327"/>
      <c r="D669" s="327"/>
      <c r="E669" s="56" t="s">
        <v>61</v>
      </c>
      <c r="F669" s="152">
        <f>SUM(G669:I669)</f>
        <v>2078.1999999999998</v>
      </c>
      <c r="G669" s="152"/>
      <c r="H669" s="152">
        <f>H661+H654+H647+H640+H633+H626+H668</f>
        <v>0</v>
      </c>
      <c r="I669" s="152">
        <f>I661+I654+I647+I640+I633+I626+I668</f>
        <v>2078.1999999999998</v>
      </c>
      <c r="J669" s="16"/>
      <c r="K669" s="84"/>
      <c r="L669" s="108" t="s">
        <v>334</v>
      </c>
      <c r="N669" s="108" t="s">
        <v>331</v>
      </c>
      <c r="P669" s="108" t="s">
        <v>332</v>
      </c>
      <c r="Q669" s="108" t="s">
        <v>333</v>
      </c>
      <c r="S669" s="108" t="s">
        <v>335</v>
      </c>
    </row>
    <row r="670" spans="1:19" ht="14.25" customHeight="1" thickBot="1">
      <c r="A670" s="212" t="s">
        <v>347</v>
      </c>
      <c r="B670" s="213"/>
      <c r="C670" s="213"/>
      <c r="D670" s="213"/>
      <c r="E670" s="213"/>
      <c r="F670" s="213"/>
      <c r="G670" s="213"/>
      <c r="H670" s="213"/>
      <c r="I670" s="213"/>
      <c r="J670" s="213"/>
      <c r="K670" s="214"/>
      <c r="L670" s="108"/>
      <c r="N670" s="108"/>
      <c r="P670" s="108"/>
      <c r="Q670" s="108"/>
      <c r="S670" s="108"/>
    </row>
    <row r="671" spans="1:19" ht="19.5" customHeight="1">
      <c r="A671" s="216" t="s">
        <v>156</v>
      </c>
      <c r="B671" s="215" t="s">
        <v>400</v>
      </c>
      <c r="C671" s="342" t="s">
        <v>313</v>
      </c>
      <c r="D671" s="201" t="s">
        <v>218</v>
      </c>
      <c r="E671" s="169">
        <v>2017</v>
      </c>
      <c r="F671" s="154">
        <f>G671+H671+I671+J671</f>
        <v>240.5</v>
      </c>
      <c r="G671" s="152"/>
      <c r="H671" s="152"/>
      <c r="I671" s="154">
        <v>240.5</v>
      </c>
      <c r="J671" s="16"/>
      <c r="K671" s="353" t="s">
        <v>155</v>
      </c>
      <c r="L671" s="115"/>
      <c r="N671" s="108"/>
      <c r="P671" s="108"/>
      <c r="Q671" s="108"/>
      <c r="S671" s="108"/>
    </row>
    <row r="672" spans="1:19" ht="24.75" customHeight="1">
      <c r="A672" s="217"/>
      <c r="B672" s="204"/>
      <c r="C672" s="343"/>
      <c r="D672" s="202"/>
      <c r="E672" s="169">
        <v>2018</v>
      </c>
      <c r="F672" s="154">
        <f>I672</f>
        <v>100</v>
      </c>
      <c r="G672" s="153"/>
      <c r="H672" s="153"/>
      <c r="I672" s="154">
        <v>100</v>
      </c>
      <c r="J672" s="16"/>
      <c r="K672" s="354"/>
      <c r="L672" s="108"/>
      <c r="N672" s="108"/>
      <c r="P672" s="108"/>
      <c r="Q672" s="108"/>
      <c r="S672" s="108"/>
    </row>
    <row r="673" spans="1:35" ht="21.75" customHeight="1">
      <c r="A673" s="217"/>
      <c r="B673" s="204"/>
      <c r="C673" s="343"/>
      <c r="D673" s="202"/>
      <c r="E673" s="169">
        <v>2019</v>
      </c>
      <c r="F673" s="154">
        <f>I673</f>
        <v>215</v>
      </c>
      <c r="G673" s="154"/>
      <c r="H673" s="154"/>
      <c r="I673" s="154">
        <v>215</v>
      </c>
      <c r="J673" s="16"/>
      <c r="K673" s="354"/>
      <c r="L673" s="108"/>
      <c r="N673" s="108"/>
      <c r="P673" s="108"/>
      <c r="Q673" s="108"/>
      <c r="S673" s="108"/>
    </row>
    <row r="674" spans="1:35" ht="24.75" customHeight="1">
      <c r="A674" s="217"/>
      <c r="B674" s="204"/>
      <c r="C674" s="343"/>
      <c r="D674" s="202"/>
      <c r="E674" s="169">
        <v>2020</v>
      </c>
      <c r="F674" s="152"/>
      <c r="G674" s="152"/>
      <c r="H674" s="152"/>
      <c r="I674" s="152"/>
      <c r="J674" s="16"/>
      <c r="K674" s="354"/>
      <c r="L674" s="108"/>
      <c r="N674" s="108"/>
      <c r="P674" s="108"/>
      <c r="Q674" s="108"/>
      <c r="S674" s="108"/>
    </row>
    <row r="675" spans="1:35" ht="21.75" customHeight="1">
      <c r="A675" s="217"/>
      <c r="B675" s="204"/>
      <c r="C675" s="343"/>
      <c r="D675" s="202"/>
      <c r="E675" s="219" t="s">
        <v>18</v>
      </c>
      <c r="F675" s="222">
        <f>F671+F672+F673+F674</f>
        <v>555.5</v>
      </c>
      <c r="G675" s="225"/>
      <c r="H675" s="225"/>
      <c r="I675" s="222">
        <f>I671+I672+I673+I674</f>
        <v>555.5</v>
      </c>
      <c r="J675" s="225"/>
      <c r="K675" s="354"/>
      <c r="L675" s="108"/>
      <c r="N675" s="108"/>
      <c r="P675" s="108"/>
      <c r="Q675" s="108"/>
      <c r="S675" s="108"/>
    </row>
    <row r="676" spans="1:35" ht="6.75" customHeight="1">
      <c r="A676" s="217"/>
      <c r="B676" s="204"/>
      <c r="C676" s="343"/>
      <c r="D676" s="202"/>
      <c r="E676" s="220"/>
      <c r="F676" s="223"/>
      <c r="G676" s="226"/>
      <c r="H676" s="226"/>
      <c r="I676" s="223"/>
      <c r="J676" s="226"/>
      <c r="K676" s="354"/>
      <c r="L676" s="108"/>
      <c r="N676" s="108"/>
      <c r="P676" s="108"/>
      <c r="Q676" s="108"/>
      <c r="S676" s="108"/>
    </row>
    <row r="677" spans="1:35" ht="13.5" hidden="1" customHeight="1">
      <c r="A677" s="218"/>
      <c r="B677" s="204"/>
      <c r="C677" s="343"/>
      <c r="D677" s="203"/>
      <c r="E677" s="221"/>
      <c r="F677" s="224"/>
      <c r="G677" s="227"/>
      <c r="H677" s="227"/>
      <c r="I677" s="224"/>
      <c r="J677" s="227"/>
      <c r="K677" s="355"/>
      <c r="L677" s="108"/>
      <c r="N677" s="108"/>
      <c r="P677" s="108"/>
      <c r="Q677" s="108"/>
      <c r="S677" s="108"/>
    </row>
    <row r="678" spans="1:35" ht="25.5">
      <c r="A678" s="350" t="s">
        <v>221</v>
      </c>
      <c r="B678" s="351"/>
      <c r="C678" s="351"/>
      <c r="D678" s="352"/>
      <c r="E678" s="146" t="s">
        <v>61</v>
      </c>
      <c r="F678" s="153">
        <f>F675</f>
        <v>555.5</v>
      </c>
      <c r="G678" s="153"/>
      <c r="H678" s="153">
        <f>H675</f>
        <v>0</v>
      </c>
      <c r="I678" s="153">
        <f>I675</f>
        <v>555.5</v>
      </c>
      <c r="J678" s="16"/>
      <c r="K678" s="84"/>
      <c r="L678" s="135"/>
      <c r="M678" s="136"/>
      <c r="N678" s="108"/>
      <c r="P678" s="108"/>
      <c r="Q678" s="108"/>
      <c r="S678" s="108"/>
    </row>
    <row r="679" spans="1:35" ht="47.25">
      <c r="A679" s="367" t="s">
        <v>212</v>
      </c>
      <c r="B679" s="297"/>
      <c r="C679" s="297"/>
      <c r="D679" s="298"/>
      <c r="E679" s="92" t="s">
        <v>61</v>
      </c>
      <c r="F679" s="92" t="s">
        <v>18</v>
      </c>
      <c r="G679" s="93" t="s">
        <v>10</v>
      </c>
      <c r="H679" s="157" t="s">
        <v>11</v>
      </c>
      <c r="I679" s="157" t="s">
        <v>12</v>
      </c>
      <c r="J679" s="157" t="s">
        <v>13</v>
      </c>
      <c r="K679" s="53"/>
      <c r="M679" s="126"/>
      <c r="N679" s="116"/>
      <c r="O679" s="126"/>
    </row>
    <row r="680" spans="1:35" ht="16.5" thickBot="1">
      <c r="A680" s="161"/>
      <c r="B680" s="163"/>
      <c r="C680" s="163"/>
      <c r="D680" s="163"/>
      <c r="E680" s="94"/>
      <c r="F680" s="152">
        <f>SUM(G680:J680)</f>
        <v>62484.499999999993</v>
      </c>
      <c r="G680" s="152"/>
      <c r="H680" s="153">
        <f>H669+H617+H600+H583+H552+H678</f>
        <v>56084.399999999994</v>
      </c>
      <c r="I680" s="153">
        <f>I669+I617+I600+I583+I552+I678</f>
        <v>6400.1</v>
      </c>
      <c r="J680" s="154"/>
      <c r="K680" s="53"/>
      <c r="L680" s="142"/>
      <c r="M680" s="143"/>
      <c r="N680" s="29"/>
      <c r="O680" s="29"/>
      <c r="P680" s="29"/>
      <c r="Q680" s="29"/>
      <c r="R680" s="29"/>
      <c r="S680" s="29"/>
      <c r="T680" s="29"/>
      <c r="U680" s="29"/>
      <c r="V680" s="29"/>
    </row>
    <row r="681" spans="1:35" ht="18">
      <c r="A681" s="285" t="s">
        <v>230</v>
      </c>
      <c r="B681" s="286"/>
      <c r="C681" s="286"/>
      <c r="D681" s="286"/>
      <c r="E681" s="286"/>
      <c r="F681" s="286"/>
      <c r="G681" s="286"/>
      <c r="H681" s="286"/>
      <c r="I681" s="286"/>
      <c r="J681" s="286"/>
      <c r="K681" s="286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  <c r="AG681" s="40"/>
      <c r="AH681" s="40"/>
      <c r="AI681" s="41"/>
    </row>
    <row r="682" spans="1:35" ht="16.5" thickBot="1">
      <c r="A682" s="359" t="s">
        <v>213</v>
      </c>
      <c r="B682" s="360"/>
      <c r="C682" s="360"/>
      <c r="D682" s="360"/>
      <c r="E682" s="300"/>
      <c r="F682" s="300"/>
      <c r="G682" s="300"/>
      <c r="H682" s="300"/>
      <c r="I682" s="300"/>
      <c r="J682" s="300"/>
      <c r="K682" s="300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85"/>
      <c r="X682" s="85"/>
      <c r="Y682" s="85"/>
      <c r="Z682" s="85"/>
      <c r="AA682" s="85"/>
      <c r="AB682" s="85"/>
      <c r="AC682" s="85"/>
      <c r="AD682" s="85"/>
      <c r="AE682" s="85"/>
      <c r="AF682" s="85"/>
      <c r="AG682" s="85"/>
      <c r="AH682" s="85"/>
      <c r="AI682" s="86"/>
    </row>
    <row r="683" spans="1:35" ht="15">
      <c r="A683" s="346" t="s">
        <v>103</v>
      </c>
      <c r="B683" s="362" t="s">
        <v>104</v>
      </c>
      <c r="C683" s="206" t="s">
        <v>61</v>
      </c>
      <c r="D683" s="201" t="s">
        <v>218</v>
      </c>
      <c r="E683" s="169">
        <v>2015</v>
      </c>
      <c r="F683" s="191">
        <f t="shared" ref="F683:F688" si="71">SUM(G683:J683)</f>
        <v>4484.7</v>
      </c>
      <c r="G683" s="7"/>
      <c r="H683" s="7"/>
      <c r="I683" s="7">
        <v>4092.2</v>
      </c>
      <c r="J683" s="7">
        <v>392.5</v>
      </c>
      <c r="K683" s="201" t="s">
        <v>180</v>
      </c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</row>
    <row r="684" spans="1:35" ht="15">
      <c r="A684" s="347"/>
      <c r="B684" s="363"/>
      <c r="C684" s="207"/>
      <c r="D684" s="202"/>
      <c r="E684" s="169">
        <v>2016</v>
      </c>
      <c r="F684" s="191">
        <f t="shared" si="71"/>
        <v>4690</v>
      </c>
      <c r="G684" s="7"/>
      <c r="H684" s="7"/>
      <c r="I684" s="7">
        <f>3801.5+222.3-0.4</f>
        <v>4023.4</v>
      </c>
      <c r="J684" s="7">
        <f>58.3+608.3</f>
        <v>666.59999999999991</v>
      </c>
      <c r="K684" s="208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</row>
    <row r="685" spans="1:35" ht="15">
      <c r="A685" s="347"/>
      <c r="B685" s="363"/>
      <c r="C685" s="207"/>
      <c r="D685" s="202"/>
      <c r="E685" s="169">
        <v>2017</v>
      </c>
      <c r="F685" s="191">
        <f t="shared" si="71"/>
        <v>5150.5</v>
      </c>
      <c r="G685" s="7"/>
      <c r="H685" s="7"/>
      <c r="I685" s="7">
        <v>4386.7</v>
      </c>
      <c r="J685" s="7">
        <f>692.8+71</f>
        <v>763.8</v>
      </c>
      <c r="K685" s="208"/>
      <c r="L685" s="108" t="s">
        <v>387</v>
      </c>
      <c r="M685" s="134" t="s">
        <v>385</v>
      </c>
      <c r="N685" s="148" t="s">
        <v>386</v>
      </c>
      <c r="O685" s="147" t="s">
        <v>388</v>
      </c>
    </row>
    <row r="686" spans="1:35" ht="15">
      <c r="A686" s="347"/>
      <c r="B686" s="363"/>
      <c r="C686" s="207"/>
      <c r="D686" s="202"/>
      <c r="E686" s="169">
        <v>2018</v>
      </c>
      <c r="F686" s="191">
        <f t="shared" si="71"/>
        <v>11057.5</v>
      </c>
      <c r="G686" s="7"/>
      <c r="H686" s="7"/>
      <c r="I686" s="7">
        <v>10993.2</v>
      </c>
      <c r="J686" s="7">
        <v>64.3</v>
      </c>
      <c r="K686" s="208"/>
      <c r="L686" s="108"/>
    </row>
    <row r="687" spans="1:35" ht="15">
      <c r="A687" s="347"/>
      <c r="B687" s="363"/>
      <c r="C687" s="207"/>
      <c r="D687" s="202"/>
      <c r="E687" s="169">
        <v>2019</v>
      </c>
      <c r="F687" s="191">
        <f t="shared" si="71"/>
        <v>5775.2</v>
      </c>
      <c r="G687" s="7"/>
      <c r="H687" s="7"/>
      <c r="I687" s="7">
        <v>5707.7</v>
      </c>
      <c r="J687" s="7">
        <v>67.5</v>
      </c>
      <c r="K687" s="208"/>
      <c r="L687" s="108"/>
    </row>
    <row r="688" spans="1:35" ht="15">
      <c r="A688" s="347"/>
      <c r="B688" s="363"/>
      <c r="C688" s="207"/>
      <c r="D688" s="202"/>
      <c r="E688" s="169">
        <v>2020</v>
      </c>
      <c r="F688" s="191">
        <f t="shared" si="71"/>
        <v>2710.6</v>
      </c>
      <c r="G688" s="7"/>
      <c r="H688" s="7"/>
      <c r="I688" s="7">
        <v>2639.7</v>
      </c>
      <c r="J688" s="7">
        <v>70.900000000000006</v>
      </c>
      <c r="K688" s="208"/>
    </row>
    <row r="689" spans="1:15" ht="14.25">
      <c r="A689" s="361"/>
      <c r="B689" s="364"/>
      <c r="C689" s="273"/>
      <c r="D689" s="202"/>
      <c r="E689" s="19" t="s">
        <v>18</v>
      </c>
      <c r="F689" s="152">
        <f>SUM(F683:F688)</f>
        <v>33868.5</v>
      </c>
      <c r="G689" s="152"/>
      <c r="H689" s="152">
        <f>SUM(H683:H688)</f>
        <v>0</v>
      </c>
      <c r="I689" s="152">
        <f>SUM(I683:I688)</f>
        <v>31842.9</v>
      </c>
      <c r="J689" s="152">
        <f>SUM(J683:J688)</f>
        <v>2025.6</v>
      </c>
      <c r="K689" s="208"/>
    </row>
    <row r="690" spans="1:15" ht="15">
      <c r="A690" s="365" t="s">
        <v>105</v>
      </c>
      <c r="B690" s="265" t="s">
        <v>106</v>
      </c>
      <c r="C690" s="206" t="s">
        <v>61</v>
      </c>
      <c r="D690" s="342" t="s">
        <v>218</v>
      </c>
      <c r="E690" s="169">
        <v>2015</v>
      </c>
      <c r="F690" s="191">
        <f t="shared" ref="F690:F695" si="72">SUM(G690:J690)</f>
        <v>448.20000000000005</v>
      </c>
      <c r="G690" s="7"/>
      <c r="H690" s="7"/>
      <c r="I690" s="7">
        <v>251.4</v>
      </c>
      <c r="J690" s="7">
        <v>196.8</v>
      </c>
      <c r="K690" s="208"/>
    </row>
    <row r="691" spans="1:15" ht="15">
      <c r="A691" s="366"/>
      <c r="B691" s="266"/>
      <c r="C691" s="207"/>
      <c r="D691" s="207"/>
      <c r="E691" s="169">
        <v>2016</v>
      </c>
      <c r="F691" s="191">
        <f t="shared" si="72"/>
        <v>478.19999999999993</v>
      </c>
      <c r="G691" s="7"/>
      <c r="H691" s="7"/>
      <c r="I691" s="7">
        <f>414.2-142.9</f>
        <v>271.29999999999995</v>
      </c>
      <c r="J691" s="7">
        <f>206.6+0.3</f>
        <v>206.9</v>
      </c>
      <c r="K691" s="208"/>
    </row>
    <row r="692" spans="1:15" ht="15">
      <c r="A692" s="366"/>
      <c r="B692" s="266"/>
      <c r="C692" s="207"/>
      <c r="D692" s="207"/>
      <c r="E692" s="169">
        <v>2017</v>
      </c>
      <c r="F692" s="191">
        <f t="shared" si="72"/>
        <v>485</v>
      </c>
      <c r="G692" s="7"/>
      <c r="H692" s="7"/>
      <c r="I692" s="7">
        <v>355.7</v>
      </c>
      <c r="J692" s="7">
        <f>110.1+19.2</f>
        <v>129.29999999999998</v>
      </c>
      <c r="K692" s="208"/>
      <c r="L692" s="108" t="s">
        <v>392</v>
      </c>
      <c r="M692" s="134" t="s">
        <v>389</v>
      </c>
      <c r="N692" s="148" t="s">
        <v>390</v>
      </c>
      <c r="O692" s="147" t="s">
        <v>391</v>
      </c>
    </row>
    <row r="693" spans="1:15" ht="15">
      <c r="A693" s="366"/>
      <c r="B693" s="266"/>
      <c r="C693" s="207"/>
      <c r="D693" s="207"/>
      <c r="E693" s="169">
        <v>2018</v>
      </c>
      <c r="F693" s="191">
        <f t="shared" si="72"/>
        <v>564.79999999999995</v>
      </c>
      <c r="G693" s="7"/>
      <c r="H693" s="7"/>
      <c r="I693" s="7">
        <v>337.1</v>
      </c>
      <c r="J693" s="7">
        <v>227.7</v>
      </c>
      <c r="K693" s="208"/>
      <c r="L693" s="108"/>
    </row>
    <row r="694" spans="1:15" ht="15">
      <c r="A694" s="366"/>
      <c r="B694" s="266"/>
      <c r="C694" s="207"/>
      <c r="D694" s="207"/>
      <c r="E694" s="169">
        <v>2019</v>
      </c>
      <c r="F694" s="191">
        <f t="shared" si="72"/>
        <v>415.7</v>
      </c>
      <c r="G694" s="7"/>
      <c r="H694" s="7"/>
      <c r="I694" s="7">
        <v>176.6</v>
      </c>
      <c r="J694" s="7">
        <v>239.1</v>
      </c>
      <c r="K694" s="208"/>
      <c r="L694" s="108"/>
    </row>
    <row r="695" spans="1:15" ht="15">
      <c r="A695" s="366"/>
      <c r="B695" s="266"/>
      <c r="C695" s="207"/>
      <c r="D695" s="207"/>
      <c r="E695" s="169">
        <v>2020</v>
      </c>
      <c r="F695" s="191">
        <f t="shared" si="72"/>
        <v>427.6</v>
      </c>
      <c r="G695" s="7"/>
      <c r="H695" s="7"/>
      <c r="I695" s="7">
        <v>176.6</v>
      </c>
      <c r="J695" s="7">
        <v>251</v>
      </c>
      <c r="K695" s="208"/>
    </row>
    <row r="696" spans="1:15" ht="14.25">
      <c r="A696" s="366"/>
      <c r="B696" s="266"/>
      <c r="C696" s="207"/>
      <c r="D696" s="207"/>
      <c r="E696" s="19" t="s">
        <v>18</v>
      </c>
      <c r="F696" s="152">
        <f>SUM(F690:F695)</f>
        <v>2819.5</v>
      </c>
      <c r="G696" s="152"/>
      <c r="H696" s="152">
        <f>SUM(H690:H695)</f>
        <v>0</v>
      </c>
      <c r="I696" s="152">
        <f>SUM(I690:I695)</f>
        <v>1568.6999999999998</v>
      </c>
      <c r="J696" s="152">
        <f>SUM(J690:J695)</f>
        <v>1250.8000000000002</v>
      </c>
      <c r="K696" s="208"/>
    </row>
    <row r="697" spans="1:15" ht="15">
      <c r="A697" s="365" t="s">
        <v>107</v>
      </c>
      <c r="B697" s="265" t="s">
        <v>276</v>
      </c>
      <c r="C697" s="206" t="s">
        <v>61</v>
      </c>
      <c r="D697" s="342" t="s">
        <v>218</v>
      </c>
      <c r="E697" s="169">
        <v>2015</v>
      </c>
      <c r="F697" s="191">
        <f t="shared" ref="F697:F702" si="73">SUM(G697:J697)</f>
        <v>402.69999999999993</v>
      </c>
      <c r="G697" s="7"/>
      <c r="H697" s="7"/>
      <c r="I697" s="7">
        <f>344.4+6.9</f>
        <v>351.29999999999995</v>
      </c>
      <c r="J697" s="7">
        <v>51.4</v>
      </c>
      <c r="K697" s="208"/>
    </row>
    <row r="698" spans="1:15" ht="15">
      <c r="A698" s="366"/>
      <c r="B698" s="265"/>
      <c r="C698" s="207"/>
      <c r="D698" s="207"/>
      <c r="E698" s="169">
        <v>2016</v>
      </c>
      <c r="F698" s="191">
        <f t="shared" si="73"/>
        <v>681.2</v>
      </c>
      <c r="G698" s="7"/>
      <c r="H698" s="7"/>
      <c r="I698" s="7">
        <f>363.3+262.6</f>
        <v>625.90000000000009</v>
      </c>
      <c r="J698" s="7">
        <f>54+1.3</f>
        <v>55.3</v>
      </c>
      <c r="K698" s="208"/>
    </row>
    <row r="699" spans="1:15" ht="15">
      <c r="A699" s="366"/>
      <c r="B699" s="265"/>
      <c r="C699" s="207"/>
      <c r="D699" s="207"/>
      <c r="E699" s="169">
        <v>2017</v>
      </c>
      <c r="F699" s="191">
        <f t="shared" si="73"/>
        <v>877.6</v>
      </c>
      <c r="G699" s="7"/>
      <c r="H699" s="7"/>
      <c r="I699" s="7">
        <v>678.1</v>
      </c>
      <c r="J699" s="7">
        <f>169.8+29.7</f>
        <v>199.5</v>
      </c>
      <c r="K699" s="208"/>
      <c r="L699" s="108" t="s">
        <v>396</v>
      </c>
      <c r="M699" s="134" t="s">
        <v>393</v>
      </c>
      <c r="N699" s="148" t="s">
        <v>394</v>
      </c>
      <c r="O699" s="147" t="s">
        <v>395</v>
      </c>
    </row>
    <row r="700" spans="1:15" ht="15">
      <c r="A700" s="366"/>
      <c r="B700" s="265"/>
      <c r="C700" s="207"/>
      <c r="D700" s="207"/>
      <c r="E700" s="169">
        <v>2018</v>
      </c>
      <c r="F700" s="191">
        <f t="shared" si="73"/>
        <v>1102.0999999999999</v>
      </c>
      <c r="G700" s="7"/>
      <c r="H700" s="7"/>
      <c r="I700" s="7">
        <v>1042.5999999999999</v>
      </c>
      <c r="J700" s="7">
        <v>59.5</v>
      </c>
      <c r="K700" s="208"/>
      <c r="L700" s="108"/>
    </row>
    <row r="701" spans="1:15" ht="15">
      <c r="A701" s="366"/>
      <c r="B701" s="265"/>
      <c r="C701" s="207"/>
      <c r="D701" s="207"/>
      <c r="E701" s="169">
        <v>2019</v>
      </c>
      <c r="F701" s="191">
        <f t="shared" si="73"/>
        <v>885.1</v>
      </c>
      <c r="G701" s="7"/>
      <c r="H701" s="7"/>
      <c r="I701" s="7">
        <v>822.6</v>
      </c>
      <c r="J701" s="7">
        <v>62.5</v>
      </c>
      <c r="K701" s="208"/>
      <c r="L701" s="108"/>
    </row>
    <row r="702" spans="1:15" ht="15">
      <c r="A702" s="366"/>
      <c r="B702" s="265"/>
      <c r="C702" s="207"/>
      <c r="D702" s="207"/>
      <c r="E702" s="169">
        <v>2020</v>
      </c>
      <c r="F702" s="191">
        <f t="shared" si="73"/>
        <v>888.30000000000007</v>
      </c>
      <c r="G702" s="7"/>
      <c r="H702" s="7"/>
      <c r="I702" s="7">
        <v>822.6</v>
      </c>
      <c r="J702" s="7">
        <v>65.7</v>
      </c>
      <c r="K702" s="208"/>
    </row>
    <row r="703" spans="1:15" ht="14.25">
      <c r="A703" s="366"/>
      <c r="B703" s="265"/>
      <c r="C703" s="207"/>
      <c r="D703" s="207"/>
      <c r="E703" s="19" t="s">
        <v>18</v>
      </c>
      <c r="F703" s="152">
        <f>SUM(F697:F702)</f>
        <v>4837</v>
      </c>
      <c r="G703" s="152"/>
      <c r="H703" s="152">
        <f>SUM(H697:H702)</f>
        <v>0</v>
      </c>
      <c r="I703" s="152">
        <f>SUM(I697:I702)</f>
        <v>4343.1000000000004</v>
      </c>
      <c r="J703" s="152">
        <f>SUM(J697:J702)</f>
        <v>493.9</v>
      </c>
      <c r="K703" s="208"/>
    </row>
    <row r="704" spans="1:15" ht="15">
      <c r="A704" s="365" t="s">
        <v>108</v>
      </c>
      <c r="B704" s="204" t="s">
        <v>109</v>
      </c>
      <c r="C704" s="206" t="s">
        <v>61</v>
      </c>
      <c r="D704" s="342" t="s">
        <v>218</v>
      </c>
      <c r="E704" s="169">
        <v>2015</v>
      </c>
      <c r="F704" s="191">
        <f t="shared" ref="F704:F709" si="74">SUM(G704:J704)</f>
        <v>2265.3000000000002</v>
      </c>
      <c r="G704" s="7"/>
      <c r="H704" s="7"/>
      <c r="I704" s="7">
        <v>2265.3000000000002</v>
      </c>
      <c r="J704" s="7"/>
      <c r="K704" s="208"/>
    </row>
    <row r="705" spans="1:14" ht="15">
      <c r="A705" s="366"/>
      <c r="B705" s="205"/>
      <c r="C705" s="207"/>
      <c r="D705" s="207"/>
      <c r="E705" s="169">
        <v>2016</v>
      </c>
      <c r="F705" s="191">
        <f t="shared" si="74"/>
        <v>2244.6999999999998</v>
      </c>
      <c r="G705" s="7"/>
      <c r="H705" s="7"/>
      <c r="I705" s="7">
        <f>2295.7-51</f>
        <v>2244.6999999999998</v>
      </c>
      <c r="J705" s="7"/>
      <c r="K705" s="208"/>
    </row>
    <row r="706" spans="1:14" ht="15">
      <c r="A706" s="366"/>
      <c r="B706" s="205"/>
      <c r="C706" s="207"/>
      <c r="D706" s="207"/>
      <c r="E706" s="169">
        <v>2017</v>
      </c>
      <c r="F706" s="191">
        <f t="shared" si="74"/>
        <v>2244.8000000000002</v>
      </c>
      <c r="G706" s="7"/>
      <c r="H706" s="7"/>
      <c r="I706" s="7">
        <v>2244.8000000000002</v>
      </c>
      <c r="J706" s="7"/>
      <c r="K706" s="208"/>
      <c r="L706" s="108"/>
      <c r="N706" s="115"/>
    </row>
    <row r="707" spans="1:14" ht="15">
      <c r="A707" s="366"/>
      <c r="B707" s="205"/>
      <c r="C707" s="207"/>
      <c r="D707" s="207"/>
      <c r="E707" s="169">
        <v>2018</v>
      </c>
      <c r="F707" s="191">
        <f t="shared" si="74"/>
        <v>3340.4</v>
      </c>
      <c r="G707" s="7"/>
      <c r="H707" s="7"/>
      <c r="I707" s="7">
        <v>3340.4</v>
      </c>
      <c r="J707" s="7"/>
      <c r="K707" s="208"/>
      <c r="L707" s="108"/>
    </row>
    <row r="708" spans="1:14" ht="15">
      <c r="A708" s="366"/>
      <c r="B708" s="205"/>
      <c r="C708" s="207"/>
      <c r="D708" s="207"/>
      <c r="E708" s="169">
        <v>2019</v>
      </c>
      <c r="F708" s="191">
        <f t="shared" si="74"/>
        <v>2400.1999999999998</v>
      </c>
      <c r="G708" s="7"/>
      <c r="H708" s="7"/>
      <c r="I708" s="7">
        <v>2400.1999999999998</v>
      </c>
      <c r="J708" s="7"/>
      <c r="K708" s="208"/>
      <c r="L708" s="108"/>
    </row>
    <row r="709" spans="1:14" ht="15">
      <c r="A709" s="366"/>
      <c r="B709" s="205"/>
      <c r="C709" s="207"/>
      <c r="D709" s="207"/>
      <c r="E709" s="169">
        <v>2020</v>
      </c>
      <c r="F709" s="191">
        <f t="shared" si="74"/>
        <v>1319.2</v>
      </c>
      <c r="G709" s="7"/>
      <c r="H709" s="7"/>
      <c r="I709" s="7">
        <v>1319.2</v>
      </c>
      <c r="J709" s="7"/>
      <c r="K709" s="208"/>
    </row>
    <row r="710" spans="1:14" ht="15">
      <c r="A710" s="366"/>
      <c r="B710" s="205"/>
      <c r="C710" s="207"/>
      <c r="D710" s="207"/>
      <c r="E710" s="19" t="s">
        <v>18</v>
      </c>
      <c r="F710" s="152">
        <f>SUM(F704:F709)</f>
        <v>13814.600000000002</v>
      </c>
      <c r="G710" s="152"/>
      <c r="H710" s="152">
        <f>SUM(H704:H709)</f>
        <v>0</v>
      </c>
      <c r="I710" s="152">
        <f>SUM(I704:I709)</f>
        <v>13814.600000000002</v>
      </c>
      <c r="J710" s="191">
        <f>SUM(J704:J709)</f>
        <v>0</v>
      </c>
      <c r="K710" s="209"/>
    </row>
    <row r="711" spans="1:14" ht="25.5">
      <c r="A711" s="369" t="s">
        <v>204</v>
      </c>
      <c r="B711" s="370"/>
      <c r="C711" s="370"/>
      <c r="D711" s="370"/>
      <c r="E711" s="56" t="s">
        <v>61</v>
      </c>
      <c r="F711" s="152">
        <f>F710+F703+F696+F689</f>
        <v>55339.600000000006</v>
      </c>
      <c r="G711" s="152"/>
      <c r="H711" s="152">
        <f>H710+H703+H696+H689</f>
        <v>0</v>
      </c>
      <c r="I711" s="152">
        <f>I710+I703+I696+I689</f>
        <v>51569.3</v>
      </c>
      <c r="J711" s="152">
        <f>J710+J703+J696+J689</f>
        <v>3770.3</v>
      </c>
      <c r="K711" s="84"/>
      <c r="L711" s="135"/>
      <c r="M711" s="108"/>
      <c r="N711" s="108"/>
    </row>
    <row r="712" spans="1:14" ht="15.75" customHeight="1">
      <c r="A712" s="359" t="s">
        <v>234</v>
      </c>
      <c r="B712" s="360"/>
      <c r="C712" s="360"/>
      <c r="D712" s="360"/>
      <c r="E712" s="300"/>
      <c r="F712" s="300"/>
      <c r="G712" s="300"/>
      <c r="H712" s="300"/>
      <c r="I712" s="300"/>
      <c r="J712" s="300"/>
      <c r="K712" s="300"/>
    </row>
    <row r="713" spans="1:14" ht="15">
      <c r="A713" s="365" t="s">
        <v>110</v>
      </c>
      <c r="B713" s="204" t="s">
        <v>111</v>
      </c>
      <c r="C713" s="206" t="s">
        <v>61</v>
      </c>
      <c r="D713" s="342" t="s">
        <v>218</v>
      </c>
      <c r="E713" s="169">
        <v>2015</v>
      </c>
      <c r="F713" s="191">
        <f t="shared" ref="F713:F718" si="75">SUM(G713:I713)</f>
        <v>2070.1</v>
      </c>
      <c r="G713" s="7"/>
      <c r="H713" s="7"/>
      <c r="I713" s="7">
        <v>2070.1</v>
      </c>
      <c r="J713" s="14"/>
      <c r="K713" s="201" t="s">
        <v>1</v>
      </c>
    </row>
    <row r="714" spans="1:14" ht="15">
      <c r="A714" s="366"/>
      <c r="B714" s="205"/>
      <c r="C714" s="207"/>
      <c r="D714" s="207"/>
      <c r="E714" s="169">
        <v>2016</v>
      </c>
      <c r="F714" s="191">
        <f t="shared" si="75"/>
        <v>2173.6</v>
      </c>
      <c r="G714" s="7"/>
      <c r="H714" s="7"/>
      <c r="I714" s="7">
        <v>2173.6</v>
      </c>
      <c r="J714" s="14"/>
      <c r="K714" s="208"/>
    </row>
    <row r="715" spans="1:14" ht="15">
      <c r="A715" s="366"/>
      <c r="B715" s="205"/>
      <c r="C715" s="207"/>
      <c r="D715" s="207"/>
      <c r="E715" s="169">
        <v>2017</v>
      </c>
      <c r="F715" s="191">
        <f t="shared" si="75"/>
        <v>2282.3000000000002</v>
      </c>
      <c r="G715" s="7"/>
      <c r="H715" s="7"/>
      <c r="I715" s="7">
        <v>2282.3000000000002</v>
      </c>
      <c r="J715" s="14"/>
      <c r="K715" s="208"/>
      <c r="L715" s="108"/>
    </row>
    <row r="716" spans="1:14" ht="15">
      <c r="A716" s="366"/>
      <c r="B716" s="205"/>
      <c r="C716" s="207"/>
      <c r="D716" s="207"/>
      <c r="E716" s="169">
        <v>2018</v>
      </c>
      <c r="F716" s="191">
        <f t="shared" si="75"/>
        <v>3145.8</v>
      </c>
      <c r="G716" s="7"/>
      <c r="H716" s="7"/>
      <c r="I716" s="7">
        <v>3145.8</v>
      </c>
      <c r="J716" s="14"/>
      <c r="K716" s="208"/>
      <c r="L716" s="108"/>
    </row>
    <row r="717" spans="1:14" ht="15">
      <c r="A717" s="366"/>
      <c r="B717" s="205"/>
      <c r="C717" s="207"/>
      <c r="D717" s="207"/>
      <c r="E717" s="169">
        <v>2019</v>
      </c>
      <c r="F717" s="191">
        <f t="shared" si="75"/>
        <v>1635.9</v>
      </c>
      <c r="G717" s="7"/>
      <c r="H717" s="7"/>
      <c r="I717" s="7">
        <v>1635.9</v>
      </c>
      <c r="J717" s="14"/>
      <c r="K717" s="208"/>
      <c r="L717" s="108"/>
    </row>
    <row r="718" spans="1:14" ht="15">
      <c r="A718" s="366"/>
      <c r="B718" s="205"/>
      <c r="C718" s="207"/>
      <c r="D718" s="207"/>
      <c r="E718" s="169">
        <v>2020</v>
      </c>
      <c r="F718" s="191">
        <f t="shared" si="75"/>
        <v>817</v>
      </c>
      <c r="G718" s="7"/>
      <c r="H718" s="7"/>
      <c r="I718" s="7">
        <v>817</v>
      </c>
      <c r="J718" s="14"/>
      <c r="K718" s="208"/>
    </row>
    <row r="719" spans="1:14" ht="14.25">
      <c r="A719" s="366"/>
      <c r="B719" s="205"/>
      <c r="C719" s="207"/>
      <c r="D719" s="207"/>
      <c r="E719" s="19" t="s">
        <v>18</v>
      </c>
      <c r="F719" s="152">
        <f>SUM(F713:F718)</f>
        <v>12124.699999999999</v>
      </c>
      <c r="G719" s="8"/>
      <c r="H719" s="8"/>
      <c r="I719" s="8">
        <f>SUM(I713:I718)</f>
        <v>12124.699999999999</v>
      </c>
      <c r="J719" s="13"/>
      <c r="K719" s="209"/>
    </row>
    <row r="720" spans="1:14" ht="25.5">
      <c r="A720" s="369" t="s">
        <v>207</v>
      </c>
      <c r="B720" s="370"/>
      <c r="C720" s="370"/>
      <c r="D720" s="370"/>
      <c r="E720" s="56" t="s">
        <v>61</v>
      </c>
      <c r="F720" s="152">
        <f>F719</f>
        <v>12124.699999999999</v>
      </c>
      <c r="G720" s="152"/>
      <c r="H720" s="152">
        <f>H719</f>
        <v>0</v>
      </c>
      <c r="I720" s="152">
        <f>I719</f>
        <v>12124.699999999999</v>
      </c>
      <c r="J720" s="16"/>
      <c r="K720" s="84"/>
      <c r="L720" s="127"/>
      <c r="M720" s="108"/>
    </row>
    <row r="721" spans="1:35" ht="47.25">
      <c r="A721" s="367" t="s">
        <v>214</v>
      </c>
      <c r="B721" s="297"/>
      <c r="C721" s="297"/>
      <c r="D721" s="298"/>
      <c r="E721" s="92" t="s">
        <v>61</v>
      </c>
      <c r="F721" s="92" t="s">
        <v>18</v>
      </c>
      <c r="G721" s="93" t="s">
        <v>10</v>
      </c>
      <c r="H721" s="157" t="s">
        <v>11</v>
      </c>
      <c r="I721" s="157" t="s">
        <v>12</v>
      </c>
      <c r="J721" s="157" t="s">
        <v>13</v>
      </c>
      <c r="K721" s="53"/>
      <c r="L721" s="135"/>
      <c r="M721" s="136"/>
      <c r="N721" s="136"/>
    </row>
    <row r="722" spans="1:35" ht="16.5" thickBot="1">
      <c r="A722" s="371"/>
      <c r="B722" s="372"/>
      <c r="C722" s="372"/>
      <c r="D722" s="373"/>
      <c r="E722" s="94"/>
      <c r="F722" s="152">
        <f>F720+F711</f>
        <v>67464.3</v>
      </c>
      <c r="G722" s="152"/>
      <c r="H722" s="152">
        <f>H720+H711</f>
        <v>0</v>
      </c>
      <c r="I722" s="152">
        <f>I720+I711</f>
        <v>63694</v>
      </c>
      <c r="J722" s="152">
        <f>J720+J711</f>
        <v>3770.3</v>
      </c>
      <c r="K722" s="53"/>
    </row>
    <row r="723" spans="1:35" ht="18">
      <c r="A723" s="285" t="s">
        <v>321</v>
      </c>
      <c r="B723" s="286"/>
      <c r="C723" s="286"/>
      <c r="D723" s="286"/>
      <c r="E723" s="286"/>
      <c r="F723" s="286"/>
      <c r="G723" s="286"/>
      <c r="H723" s="286"/>
      <c r="I723" s="286"/>
      <c r="J723" s="286"/>
      <c r="K723" s="286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0"/>
      <c r="X723" s="40"/>
      <c r="Y723" s="40"/>
      <c r="Z723" s="40"/>
      <c r="AA723" s="40"/>
      <c r="AB723" s="40"/>
      <c r="AC723" s="40"/>
      <c r="AD723" s="40"/>
      <c r="AE723" s="40"/>
      <c r="AF723" s="40"/>
      <c r="AG723" s="40"/>
      <c r="AH723" s="40"/>
      <c r="AI723" s="41"/>
    </row>
    <row r="724" spans="1:35" ht="30" customHeight="1" thickBot="1">
      <c r="A724" s="359" t="s">
        <v>322</v>
      </c>
      <c r="B724" s="360"/>
      <c r="C724" s="360"/>
      <c r="D724" s="360"/>
      <c r="E724" s="300"/>
      <c r="F724" s="300"/>
      <c r="G724" s="300"/>
      <c r="H724" s="300"/>
      <c r="I724" s="300"/>
      <c r="J724" s="300"/>
      <c r="K724" s="300"/>
      <c r="L724" s="59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85"/>
      <c r="X724" s="85"/>
      <c r="Y724" s="85"/>
      <c r="Z724" s="85"/>
      <c r="AA724" s="85"/>
      <c r="AB724" s="85"/>
      <c r="AC724" s="85"/>
      <c r="AD724" s="85"/>
      <c r="AE724" s="85"/>
      <c r="AF724" s="85"/>
      <c r="AG724" s="85"/>
      <c r="AH724" s="85"/>
      <c r="AI724" s="86"/>
    </row>
    <row r="725" spans="1:35" ht="18" customHeight="1">
      <c r="A725" s="346" t="s">
        <v>103</v>
      </c>
      <c r="B725" s="362" t="s">
        <v>323</v>
      </c>
      <c r="C725" s="206" t="s">
        <v>313</v>
      </c>
      <c r="D725" s="201" t="s">
        <v>218</v>
      </c>
      <c r="E725" s="169">
        <v>2017</v>
      </c>
      <c r="F725" s="154">
        <f t="shared" ref="F725:F728" si="76">SUM(G725:J725)</f>
        <v>28240.7</v>
      </c>
      <c r="G725" s="7"/>
      <c r="H725" s="7"/>
      <c r="I725" s="7">
        <f>25971.2+2269.5</f>
        <v>28240.7</v>
      </c>
      <c r="J725" s="7">
        <v>0</v>
      </c>
      <c r="K725" s="383" t="s">
        <v>401</v>
      </c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</row>
    <row r="726" spans="1:35" ht="18" customHeight="1">
      <c r="A726" s="347"/>
      <c r="B726" s="363"/>
      <c r="C726" s="207"/>
      <c r="D726" s="202"/>
      <c r="E726" s="169">
        <v>2018</v>
      </c>
      <c r="F726" s="191">
        <f t="shared" si="76"/>
        <v>27826</v>
      </c>
      <c r="G726" s="7"/>
      <c r="H726" s="7"/>
      <c r="I726" s="7">
        <v>27826</v>
      </c>
      <c r="J726" s="7">
        <v>0</v>
      </c>
      <c r="K726" s="488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</row>
    <row r="727" spans="1:35" ht="18" customHeight="1">
      <c r="A727" s="347"/>
      <c r="B727" s="363"/>
      <c r="C727" s="207"/>
      <c r="D727" s="202"/>
      <c r="E727" s="169">
        <v>2019</v>
      </c>
      <c r="F727" s="191">
        <f t="shared" si="76"/>
        <v>29062</v>
      </c>
      <c r="G727" s="7"/>
      <c r="H727" s="7"/>
      <c r="I727" s="7">
        <v>29062</v>
      </c>
      <c r="J727" s="7">
        <v>0</v>
      </c>
      <c r="K727" s="488"/>
      <c r="L727" s="108"/>
    </row>
    <row r="728" spans="1:35" ht="18" customHeight="1">
      <c r="A728" s="347"/>
      <c r="B728" s="363"/>
      <c r="C728" s="207"/>
      <c r="D728" s="202"/>
      <c r="E728" s="169">
        <v>2020</v>
      </c>
      <c r="F728" s="191">
        <f t="shared" si="76"/>
        <v>18600</v>
      </c>
      <c r="G728" s="7"/>
      <c r="H728" s="7"/>
      <c r="I728" s="7">
        <v>18600</v>
      </c>
      <c r="J728" s="7">
        <v>0</v>
      </c>
      <c r="K728" s="488"/>
      <c r="L728" s="108"/>
    </row>
    <row r="729" spans="1:35" ht="18" customHeight="1">
      <c r="A729" s="361"/>
      <c r="B729" s="364"/>
      <c r="C729" s="273"/>
      <c r="D729" s="202"/>
      <c r="E729" s="19" t="s">
        <v>18</v>
      </c>
      <c r="F729" s="153">
        <f>SUM(F725:F728)</f>
        <v>103728.7</v>
      </c>
      <c r="G729" s="153"/>
      <c r="H729" s="153">
        <f>SUM(H725:H728)</f>
        <v>0</v>
      </c>
      <c r="I729" s="153">
        <f>SUM(I725:I728)</f>
        <v>103728.7</v>
      </c>
      <c r="J729" s="153">
        <f>SUM(J725:J728)</f>
        <v>0</v>
      </c>
      <c r="K729" s="489"/>
    </row>
    <row r="730" spans="1:35" ht="25.5">
      <c r="A730" s="313" t="s">
        <v>204</v>
      </c>
      <c r="B730" s="314"/>
      <c r="C730" s="314"/>
      <c r="D730" s="314"/>
      <c r="E730" s="6" t="s">
        <v>313</v>
      </c>
      <c r="F730" s="193">
        <f>SUM(F725:F728)</f>
        <v>103728.7</v>
      </c>
      <c r="G730" s="181"/>
      <c r="H730" s="8">
        <f>SUM(H725:H728)</f>
        <v>0</v>
      </c>
      <c r="I730" s="8">
        <f>SUM(I725:I728)</f>
        <v>103728.7</v>
      </c>
      <c r="J730" s="181"/>
      <c r="K730" s="6"/>
    </row>
    <row r="731" spans="1:35" ht="18" customHeight="1" thickBot="1">
      <c r="A731" s="359" t="s">
        <v>324</v>
      </c>
      <c r="B731" s="360"/>
      <c r="C731" s="360"/>
      <c r="D731" s="360"/>
      <c r="E731" s="300"/>
      <c r="F731" s="300"/>
      <c r="G731" s="300"/>
      <c r="H731" s="300"/>
      <c r="I731" s="300"/>
      <c r="J731" s="300"/>
      <c r="K731" s="300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85"/>
      <c r="X731" s="85"/>
      <c r="Y731" s="85"/>
      <c r="Z731" s="85"/>
      <c r="AA731" s="85"/>
      <c r="AB731" s="85"/>
      <c r="AC731" s="85"/>
      <c r="AD731" s="85"/>
      <c r="AE731" s="85"/>
      <c r="AF731" s="85"/>
      <c r="AG731" s="85"/>
      <c r="AH731" s="85"/>
      <c r="AI731" s="86"/>
    </row>
    <row r="732" spans="1:35" ht="18" customHeight="1">
      <c r="A732" s="346" t="s">
        <v>110</v>
      </c>
      <c r="B732" s="362" t="s">
        <v>328</v>
      </c>
      <c r="C732" s="206" t="s">
        <v>313</v>
      </c>
      <c r="D732" s="201" t="s">
        <v>218</v>
      </c>
      <c r="E732" s="169">
        <v>2017</v>
      </c>
      <c r="F732" s="154">
        <f t="shared" ref="F732:F735" si="77">SUM(G732:J732)</f>
        <v>21630.400000000001</v>
      </c>
      <c r="G732" s="7"/>
      <c r="H732" s="7"/>
      <c r="I732" s="7">
        <f>20880.4+750</f>
        <v>21630.400000000001</v>
      </c>
      <c r="J732" s="7">
        <v>0</v>
      </c>
      <c r="K732" s="383" t="s">
        <v>402</v>
      </c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</row>
    <row r="733" spans="1:35" ht="18" customHeight="1">
      <c r="A733" s="347"/>
      <c r="B733" s="363"/>
      <c r="C733" s="207"/>
      <c r="D733" s="202"/>
      <c r="E733" s="169">
        <v>2018</v>
      </c>
      <c r="F733" s="191">
        <f t="shared" si="77"/>
        <v>21138.799999999999</v>
      </c>
      <c r="G733" s="7"/>
      <c r="H733" s="7"/>
      <c r="I733" s="7">
        <v>21138.799999999999</v>
      </c>
      <c r="J733" s="7">
        <v>0</v>
      </c>
      <c r="K733" s="384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</row>
    <row r="734" spans="1:35" ht="18" customHeight="1">
      <c r="A734" s="347"/>
      <c r="B734" s="363"/>
      <c r="C734" s="207"/>
      <c r="D734" s="202"/>
      <c r="E734" s="169">
        <v>2019</v>
      </c>
      <c r="F734" s="191">
        <f t="shared" si="77"/>
        <v>21979.7</v>
      </c>
      <c r="G734" s="7"/>
      <c r="H734" s="7"/>
      <c r="I734" s="7">
        <v>21979.7</v>
      </c>
      <c r="J734" s="7">
        <v>0</v>
      </c>
      <c r="K734" s="384"/>
      <c r="L734" s="108"/>
    </row>
    <row r="735" spans="1:35" ht="18" customHeight="1">
      <c r="A735" s="347"/>
      <c r="B735" s="363"/>
      <c r="C735" s="207"/>
      <c r="D735" s="202"/>
      <c r="E735" s="169">
        <v>2020</v>
      </c>
      <c r="F735" s="191">
        <f t="shared" si="77"/>
        <v>17264.3</v>
      </c>
      <c r="G735" s="7"/>
      <c r="H735" s="7"/>
      <c r="I735" s="7">
        <v>17264.3</v>
      </c>
      <c r="J735" s="7">
        <v>0</v>
      </c>
      <c r="K735" s="384"/>
      <c r="L735" s="108"/>
    </row>
    <row r="736" spans="1:35" ht="18" customHeight="1">
      <c r="A736" s="361"/>
      <c r="B736" s="364"/>
      <c r="C736" s="273"/>
      <c r="D736" s="202"/>
      <c r="E736" s="19" t="s">
        <v>18</v>
      </c>
      <c r="F736" s="153">
        <f>SUM(F732:F735)</f>
        <v>82013.2</v>
      </c>
      <c r="G736" s="153"/>
      <c r="H736" s="153">
        <f>SUM(H732:H735)</f>
        <v>0</v>
      </c>
      <c r="I736" s="153">
        <f>SUM(I732:I735)</f>
        <v>82013.2</v>
      </c>
      <c r="J736" s="153">
        <f>SUM(J732:J735)</f>
        <v>0</v>
      </c>
      <c r="K736" s="385"/>
    </row>
    <row r="737" spans="1:35" ht="25.5">
      <c r="A737" s="313" t="s">
        <v>207</v>
      </c>
      <c r="B737" s="314"/>
      <c r="C737" s="314"/>
      <c r="D737" s="314"/>
      <c r="E737" s="6" t="s">
        <v>313</v>
      </c>
      <c r="F737" s="193">
        <f>SUM(F732:F735)</f>
        <v>82013.2</v>
      </c>
      <c r="G737" s="181"/>
      <c r="H737" s="8">
        <f>SUM(H732:H735)</f>
        <v>0</v>
      </c>
      <c r="I737" s="8">
        <f>SUM(I732:I735)</f>
        <v>82013.2</v>
      </c>
      <c r="J737" s="181"/>
      <c r="K737" s="6"/>
    </row>
    <row r="738" spans="1:35" ht="30" customHeight="1" thickBot="1">
      <c r="A738" s="359" t="s">
        <v>325</v>
      </c>
      <c r="B738" s="360"/>
      <c r="C738" s="360"/>
      <c r="D738" s="360"/>
      <c r="E738" s="300"/>
      <c r="F738" s="300"/>
      <c r="G738" s="300"/>
      <c r="H738" s="300"/>
      <c r="I738" s="300"/>
      <c r="J738" s="300"/>
      <c r="K738" s="300"/>
      <c r="L738" s="59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85"/>
      <c r="X738" s="85"/>
      <c r="Y738" s="85"/>
      <c r="Z738" s="85"/>
      <c r="AA738" s="85"/>
      <c r="AB738" s="85"/>
      <c r="AC738" s="85"/>
      <c r="AD738" s="85"/>
      <c r="AE738" s="85"/>
      <c r="AF738" s="85"/>
      <c r="AG738" s="85"/>
      <c r="AH738" s="85"/>
      <c r="AI738" s="86"/>
    </row>
    <row r="739" spans="1:35" ht="18" customHeight="1">
      <c r="A739" s="346" t="s">
        <v>405</v>
      </c>
      <c r="B739" s="362" t="s">
        <v>326</v>
      </c>
      <c r="C739" s="206" t="s">
        <v>313</v>
      </c>
      <c r="D739" s="201" t="s">
        <v>218</v>
      </c>
      <c r="E739" s="169">
        <v>2017</v>
      </c>
      <c r="F739" s="154">
        <f t="shared" ref="F739:F742" si="78">SUM(G739:J739)</f>
        <v>10020.200000000001</v>
      </c>
      <c r="G739" s="7"/>
      <c r="H739" s="7"/>
      <c r="I739" s="7">
        <f>9704.7+315.5</f>
        <v>10020.200000000001</v>
      </c>
      <c r="J739" s="7">
        <v>0</v>
      </c>
      <c r="K739" s="383" t="s">
        <v>403</v>
      </c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</row>
    <row r="740" spans="1:35" ht="18" customHeight="1">
      <c r="A740" s="347"/>
      <c r="B740" s="363"/>
      <c r="C740" s="207"/>
      <c r="D740" s="202"/>
      <c r="E740" s="169">
        <v>2018</v>
      </c>
      <c r="F740" s="191">
        <f t="shared" si="78"/>
        <v>9512.9</v>
      </c>
      <c r="G740" s="7"/>
      <c r="H740" s="7"/>
      <c r="I740" s="7">
        <v>9512.9</v>
      </c>
      <c r="J740" s="7">
        <v>0</v>
      </c>
      <c r="K740" s="384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</row>
    <row r="741" spans="1:35" ht="18" customHeight="1">
      <c r="A741" s="347"/>
      <c r="B741" s="363"/>
      <c r="C741" s="207"/>
      <c r="D741" s="202"/>
      <c r="E741" s="169">
        <v>2019</v>
      </c>
      <c r="F741" s="191">
        <f t="shared" si="78"/>
        <v>10759.1</v>
      </c>
      <c r="G741" s="7"/>
      <c r="H741" s="7"/>
      <c r="I741" s="7">
        <v>10759.1</v>
      </c>
      <c r="J741" s="7">
        <v>0</v>
      </c>
      <c r="K741" s="384"/>
      <c r="L741" s="108"/>
    </row>
    <row r="742" spans="1:35" ht="18" customHeight="1">
      <c r="A742" s="347"/>
      <c r="B742" s="363"/>
      <c r="C742" s="207"/>
      <c r="D742" s="202"/>
      <c r="E742" s="169">
        <v>2020</v>
      </c>
      <c r="F742" s="191">
        <f t="shared" si="78"/>
        <v>8390.4</v>
      </c>
      <c r="G742" s="7"/>
      <c r="H742" s="7"/>
      <c r="I742" s="7">
        <v>8390.4</v>
      </c>
      <c r="J742" s="7">
        <v>0</v>
      </c>
      <c r="K742" s="384"/>
      <c r="L742" s="108"/>
    </row>
    <row r="743" spans="1:35" ht="18" customHeight="1">
      <c r="A743" s="361"/>
      <c r="B743" s="364"/>
      <c r="C743" s="273"/>
      <c r="D743" s="202"/>
      <c r="E743" s="19" t="s">
        <v>18</v>
      </c>
      <c r="F743" s="152">
        <f>SUM(F739:F742)</f>
        <v>38682.6</v>
      </c>
      <c r="G743" s="152"/>
      <c r="H743" s="152">
        <f>SUM(H739:H742)</f>
        <v>0</v>
      </c>
      <c r="I743" s="152">
        <f>SUM(I739:I742)</f>
        <v>38682.6</v>
      </c>
      <c r="J743" s="152">
        <f>SUM(J739:J742)</f>
        <v>0</v>
      </c>
      <c r="K743" s="385"/>
    </row>
    <row r="744" spans="1:35" ht="25.5">
      <c r="A744" s="313" t="s">
        <v>195</v>
      </c>
      <c r="B744" s="314"/>
      <c r="C744" s="314"/>
      <c r="D744" s="314"/>
      <c r="E744" s="6" t="s">
        <v>313</v>
      </c>
      <c r="F744" s="193">
        <f>SUM(F739:F742)</f>
        <v>38682.6</v>
      </c>
      <c r="G744" s="181"/>
      <c r="H744" s="8">
        <f>SUM(H739:H742)</f>
        <v>0</v>
      </c>
      <c r="I744" s="8">
        <f>SUM(I739:I742)</f>
        <v>38682.6</v>
      </c>
      <c r="J744" s="181"/>
      <c r="K744" s="6"/>
    </row>
    <row r="745" spans="1:35" ht="47.25">
      <c r="A745" s="367" t="s">
        <v>327</v>
      </c>
      <c r="B745" s="297"/>
      <c r="C745" s="297"/>
      <c r="D745" s="298"/>
      <c r="E745" s="92" t="s">
        <v>313</v>
      </c>
      <c r="F745" s="92" t="s">
        <v>18</v>
      </c>
      <c r="G745" s="93" t="s">
        <v>10</v>
      </c>
      <c r="H745" s="157" t="s">
        <v>11</v>
      </c>
      <c r="I745" s="157" t="s">
        <v>12</v>
      </c>
      <c r="J745" s="157" t="s">
        <v>13</v>
      </c>
      <c r="K745" s="53"/>
      <c r="L745" s="116"/>
      <c r="M745" s="108"/>
    </row>
    <row r="746" spans="1:35" ht="15.75">
      <c r="A746" s="371"/>
      <c r="B746" s="372"/>
      <c r="C746" s="372"/>
      <c r="D746" s="373"/>
      <c r="E746" s="94"/>
      <c r="F746" s="152">
        <f>F744+F737+F730</f>
        <v>224424.5</v>
      </c>
      <c r="G746" s="152"/>
      <c r="H746" s="152">
        <f>H744+H737+H730</f>
        <v>0</v>
      </c>
      <c r="I746" s="152">
        <f>I744+I737+I730</f>
        <v>224424.5</v>
      </c>
      <c r="J746" s="152">
        <f>J744+J737+J730</f>
        <v>0</v>
      </c>
      <c r="K746" s="53"/>
    </row>
    <row r="747" spans="1:35" ht="47.25">
      <c r="A747" s="374" t="s">
        <v>112</v>
      </c>
      <c r="B747" s="375"/>
      <c r="C747" s="375"/>
      <c r="D747" s="376"/>
      <c r="E747" s="92" t="s">
        <v>126</v>
      </c>
      <c r="F747" s="92" t="s">
        <v>18</v>
      </c>
      <c r="G747" s="93" t="s">
        <v>10</v>
      </c>
      <c r="H747" s="157" t="s">
        <v>11</v>
      </c>
      <c r="I747" s="157" t="s">
        <v>12</v>
      </c>
      <c r="J747" s="157" t="s">
        <v>13</v>
      </c>
      <c r="K747" s="53"/>
    </row>
    <row r="748" spans="1:35" ht="15">
      <c r="A748" s="377"/>
      <c r="B748" s="378"/>
      <c r="C748" s="378"/>
      <c r="D748" s="379"/>
      <c r="E748" s="169">
        <v>2015</v>
      </c>
      <c r="F748" s="191">
        <f t="shared" ref="F748:F753" si="79">SUM(H748:J748)</f>
        <v>1157693.2999999998</v>
      </c>
      <c r="G748" s="7"/>
      <c r="H748" s="7">
        <f>H713+H704+H697+H690+H683+H662+H655+H648+H641+H634+H627+H620+H610+H603+H593+H586+H576+H569+H562+H555+H545+H538+H531+H524+H505+H495+H488+H481+H474+H464+H449+H431+H424+H417+H410+H402+H393+H381+H372+H358+H326+H319+H312+H290+H277+H247+H233+H216+H210+H203+H196+H151+H144+H108+H84+H56+H39+H32+H23+H16</f>
        <v>986489.1</v>
      </c>
      <c r="I748" s="7">
        <f>I16+I23+I32+I39+I56+I63+I70+I84+I100+I108+I118+I128+I135+I144+I151+I158+I165+I196+I203+I216+I233+I247+I277+I290+I302+I312+I319+I326+I358+I372+I381+I393+I402+I410+I417+I424+I449+I464+I474+I481+I488+I495+I505+I524+I531+I538+I545+I555+I562+I569+I576+I586+I593+I603+I610+I620+I627+I634+I641+I648+I655+I662+I683+I690+I697+I704+I713+I431+I456</f>
        <v>170563.49999999997</v>
      </c>
      <c r="J748" s="7">
        <f t="shared" ref="J748:J753" si="80">J16+J23+J32+J39+J56+J63+J70+J84+J100+J108+J118+J128+J135+J144+J151+J158+J165+J196+J203+J216+J233+J247+J277+J290+J302+J312+J319+J326+J358+J372+J381+J393+J402+J410+J417+J424+J449+J464+J474+J481+J488+J495+J505+J524+J531+J538+J545+J555+J562+J569+J576+J586+J593+J603+J610+J620+J627+J634+J641+J648+J655+J662+J683+J690+J697+J704+J713</f>
        <v>640.69999999999993</v>
      </c>
      <c r="K748" s="368"/>
    </row>
    <row r="749" spans="1:35" ht="15">
      <c r="A749" s="377"/>
      <c r="B749" s="378"/>
      <c r="C749" s="378"/>
      <c r="D749" s="379"/>
      <c r="E749" s="169">
        <v>2016</v>
      </c>
      <c r="F749" s="191">
        <f t="shared" si="79"/>
        <v>1134983.6000000001</v>
      </c>
      <c r="G749" s="7"/>
      <c r="H749" s="7">
        <f>H17+H24+H33+H40+H57+H64+H71+H85+H101+H109+H119+H129+H136+H145+H152+H159+H166+H197+H204+H217+H234+H248+H278+H291+H303+H313+H320+H327+H359+H373+H382+H394+H403+H411+H418+H425+H450+H465+H475+H482+H489+H496+H506+H525+H532+H539+H546+H556+H563+H570+H577+H587+H594+H604+H611+H621+H628+H635+H642+H649+H656+H663+H684+H691+H698+H705+H714+H334+H186+H46+H223+H340</f>
        <v>934993.5</v>
      </c>
      <c r="I749" s="7">
        <f>I17+I24+I33+I40+I57+I64+I71+I85+I101+I109+I119+I129+I136+I145+I152+I159+I166+I197+I204+I217+I234+I248+I278+I291+I303+I313+I320+I327+I359+I373+I382+I394+I403+I411+I418+I425+I450+I465+I475+I482+I489+I496+I506+I525+I532+I539+I546+I556+I563+I570+I577+I587+I594+I604+I611+I621+I628+I635+I642+I649+I656+I663+I684+I691+I698+I705+I714+I457+I438+I240+I92+I334+I223+I46+I340</f>
        <v>199061.29999999996</v>
      </c>
      <c r="J749" s="7">
        <f t="shared" si="80"/>
        <v>928.79999999999984</v>
      </c>
      <c r="K749" s="368"/>
    </row>
    <row r="750" spans="1:35" ht="15">
      <c r="A750" s="377"/>
      <c r="B750" s="378"/>
      <c r="C750" s="378"/>
      <c r="D750" s="379"/>
      <c r="E750" s="169">
        <v>2017</v>
      </c>
      <c r="F750" s="191">
        <f t="shared" si="79"/>
        <v>1454809.5</v>
      </c>
      <c r="G750" s="7"/>
      <c r="H750" s="7">
        <f>H18+H25+H34+H41+H47+H49+H58+H65+H72+H77+H86+H93+H102+H110+H120+H130+H137+H146+H153+H160+H167+H187+H198+H205+H212+H218+H224+H226+H228+H230+H235+H241+H249+H254+H259+H264+H269+H279+H284+H292+H297+H304+H314+H321+H328+H335+H341+H346+H351+H360+H365+H374+H383+H395+H404+H412+H419+H426+H433+H439+H444+H451+H458+H466+H476+H483+H490+H497+H507+H514+H526+H533+H540+H547+H557+H564+H571+H578+H588+H595+H605+H612+H622+H629+H636+H643+H650+H657+H664+H671+H685+H692+H699+H706+H715+H725+H732+H739</f>
        <v>1075219.2</v>
      </c>
      <c r="I750" s="7">
        <f>I18+I25+I34+I41+I47+I49+I58+I65+I72+I77+I86+I93+I102+I110+I120+I130+I137+I146+I153+I160+I167+I187+I198+I205+I212+I218+I224+I226+I228+I230+I235+I241+I249+I254+I259+I264+I269+I279+I284+I292+I297+I304+I314+I321+I328+I335+I341+I346+I351+I360+I365+I374+I383+I395+I404+I412+I419+I426+I433+I439+I444+I451+I458+I466+I476+I483+I490+I497+I507+I514+I526+I533+I540+I547+I557+I564+I571+I578+I588+I595+I605+I612+I622+I629+I636+I643+I650+I657+I664+I671+I685+I692+I699+I706+I715+I725+I732+I739+I52</f>
        <v>378497.69999999995</v>
      </c>
      <c r="J750" s="7">
        <f t="shared" si="80"/>
        <v>1092.5999999999999</v>
      </c>
      <c r="K750" s="368"/>
    </row>
    <row r="751" spans="1:35" ht="15">
      <c r="A751" s="377"/>
      <c r="B751" s="378"/>
      <c r="C751" s="378"/>
      <c r="D751" s="379"/>
      <c r="E751" s="169">
        <v>2018</v>
      </c>
      <c r="F751" s="191">
        <f t="shared" si="79"/>
        <v>1436803.7000000002</v>
      </c>
      <c r="G751" s="7"/>
      <c r="H751" s="7">
        <f>H19+H26+H35+H42+H59+H66+H73+H87+H103+H111+H121+H131+H138+H147+H154+H161+H168+H199+H206+H219+H236+H250+H280+H293+H305+H315+H322+H329+H361+H375+H384+H396+H405+H413+H420+H427+H452+H467+H477+H484+H491+H498+H508+H527+H534+H541+H548+H558+H565+H572+H579+H589+H596+H606+H613+H623+H630+H637+H644+H651+H658+H665+H686+H693+H700+H707+H716+H188+H213+H78+H260+H285+H298+H347+H515</f>
        <v>1106992.6000000001</v>
      </c>
      <c r="I751" s="7">
        <f>I19+I26+I35+I42+I59+I66+I73+I87+I103+I111+I121+I131+I138+I147+I154+I161+I168+I199+I206+I219+I236+I250+I280+I293+I305+I315+I322+I329+I361+I375+I384+I396+I405+I413+I420+I427+I452+I467+I477+I484+I491+I498+I508+I527+I534+I541+I548+I558+I565+I572+I579+I589+I596+I606+I613+I623+I630+I637+I644+I651+I658+I665+I686+I693+I700+I707+I716+I459+I94+I242+I336+I342+I440+I213+I50+I740+I733+I726+I672+I366+I352+I270+I265+I260</f>
        <v>329459.60000000009</v>
      </c>
      <c r="J751" s="7">
        <f t="shared" si="80"/>
        <v>351.5</v>
      </c>
      <c r="K751" s="368"/>
    </row>
    <row r="752" spans="1:35" ht="15">
      <c r="A752" s="377"/>
      <c r="B752" s="378"/>
      <c r="C752" s="378"/>
      <c r="D752" s="379"/>
      <c r="E752" s="169">
        <v>2019</v>
      </c>
      <c r="F752" s="191">
        <f t="shared" si="79"/>
        <v>1391820.3000000003</v>
      </c>
      <c r="G752" s="7"/>
      <c r="H752" s="7">
        <f>H20+H27+H36+H43+H60+H67+H74+H88+H104+H112+H122+H132+H139+H148+H155+H162+H169+H200+H207+H220+H237+H251+H281+H294+H306+H316+H323+H330+H362+H376+H385+H397+H406+H414+H421+H428+H453+H468+H478+H485+H492+H499+H509+H528+H535+H542+H549+H559+H566+H573+H580+H590+H597+H607+H614+H624+H631+H638+H645+H652+H659+H666+H687+H694+H701+H708+H717+H189+H516+H348+H299+H286+H261+H79</f>
        <v>1130668.7000000002</v>
      </c>
      <c r="I752" s="7">
        <f>I20+I27+I36+I43+I60+I67+I74+I88+I104+I112+I122+I132+I139+I148+I155+I162+I169+I200+I207+I220+I237+I251+I281+I294+I306+I316+I323+I330+I362+I376+I385+I397+I406+I414+I421+I428+I453+I468+I478+I485+I492+I499+I509+I528+I535+I542+I549+I559+I566+I573+I580+I590+I597+I607+I614+I624+I631+I638+I645+I652+I659+I666+I687+I694+I701+I708+I717+I460+I95+I243+I337+I343+I441+I741+I734+I727+I673+I367+I266+I261</f>
        <v>260782.50000000006</v>
      </c>
      <c r="J752" s="7">
        <f t="shared" si="80"/>
        <v>369.1</v>
      </c>
      <c r="K752" s="368"/>
    </row>
    <row r="753" spans="1:11" ht="15">
      <c r="A753" s="377"/>
      <c r="B753" s="378"/>
      <c r="C753" s="378"/>
      <c r="D753" s="379"/>
      <c r="E753" s="169">
        <v>2020</v>
      </c>
      <c r="F753" s="191">
        <f t="shared" si="79"/>
        <v>1355735.7000000002</v>
      </c>
      <c r="G753" s="7"/>
      <c r="H753" s="7">
        <f>H21+H28+H37+H44+H61+H68+H75+H89+H105+H113+H123+H133+H140+H149+H156+H163+H170+H201+H208+H221+H238+H252+H282+H295+H307+H317+H324+H331+H363+H377+H386+H398+H407+H415+H422+H429+H454+H469+H479+H486+H493+H500+H510+H529+H536+H543+H550+H560+H567+H574+H581+H591+H598+H608+H615+H625+H632+H639+H646+H653+H660+H667+H688+H695+H702+H709+H718+H517+H349+H300+H287+H262+H190+H80</f>
        <v>1177658.4000000001</v>
      </c>
      <c r="I753" s="7">
        <f>I21+I28+I37+I44+I61+I68+I75+I89+I105+I113+I123+I133+I140+I149+I156+I163+I170+I201+I208+I221+I238+I252+I282+I295+I307+I317+I324+I331+I363+I377+I386+I398+I407+I415+I422+I429+I454+I469+I479+I486+I493+I500+I510+I529+I536+I543+I550+I560+I567+I574+I581+I591+I598+I608+I615+I625+I632+I639+I646+I653+I660+I667+I688+I695+I702+I709+I718+I461+I742+I735+I728+I368+I338+I267+I262</f>
        <v>177689.69999999998</v>
      </c>
      <c r="J753" s="7">
        <f t="shared" si="80"/>
        <v>387.59999999999997</v>
      </c>
      <c r="K753" s="368"/>
    </row>
    <row r="754" spans="1:11" ht="15.75" customHeight="1">
      <c r="A754" s="380"/>
      <c r="B754" s="381"/>
      <c r="C754" s="381"/>
      <c r="D754" s="382"/>
      <c r="E754" s="19" t="s">
        <v>127</v>
      </c>
      <c r="F754" s="200">
        <f>SUM(F748:F753)</f>
        <v>7931846.1000000006</v>
      </c>
      <c r="G754" s="8"/>
      <c r="H754" s="8">
        <f>SUM(H748:H753)</f>
        <v>6412021.5</v>
      </c>
      <c r="I754" s="8">
        <f>SUM(I748:I753)</f>
        <v>1516054.3</v>
      </c>
      <c r="J754" s="8">
        <f>SUM(J748:J753)</f>
        <v>3770.2999999999993</v>
      </c>
      <c r="K754" s="368"/>
    </row>
    <row r="756" spans="1:11">
      <c r="I756" s="87"/>
    </row>
    <row r="759" spans="1:11">
      <c r="H759" s="116"/>
      <c r="I759" s="116"/>
    </row>
  </sheetData>
  <mergeCells count="608">
    <mergeCell ref="B365:B369"/>
    <mergeCell ref="C365:C369"/>
    <mergeCell ref="D365:D369"/>
    <mergeCell ref="K365:K369"/>
    <mergeCell ref="A370:D370"/>
    <mergeCell ref="A371:K371"/>
    <mergeCell ref="A372:A378"/>
    <mergeCell ref="B372:B378"/>
    <mergeCell ref="C372:C378"/>
    <mergeCell ref="D372:D378"/>
    <mergeCell ref="K372:K378"/>
    <mergeCell ref="A380:K380"/>
    <mergeCell ref="B381:B387"/>
    <mergeCell ref="C381:C387"/>
    <mergeCell ref="D381:D387"/>
    <mergeCell ref="A379:D379"/>
    <mergeCell ref="A724:K724"/>
    <mergeCell ref="A725:A729"/>
    <mergeCell ref="B725:B729"/>
    <mergeCell ref="C725:C729"/>
    <mergeCell ref="D725:D729"/>
    <mergeCell ref="K725:K729"/>
    <mergeCell ref="A593:A599"/>
    <mergeCell ref="B593:B599"/>
    <mergeCell ref="C593:C599"/>
    <mergeCell ref="D593:D599"/>
    <mergeCell ref="K610:K616"/>
    <mergeCell ref="K603:K609"/>
    <mergeCell ref="K634:K661"/>
    <mergeCell ref="C671:C677"/>
    <mergeCell ref="A600:D600"/>
    <mergeCell ref="B697:B703"/>
    <mergeCell ref="C697:C703"/>
    <mergeCell ref="D697:D703"/>
    <mergeCell ref="D690:D696"/>
    <mergeCell ref="K381:K387"/>
    <mergeCell ref="K358:K364"/>
    <mergeCell ref="K683:K710"/>
    <mergeCell ref="D704:D710"/>
    <mergeCell ref="D627:D633"/>
    <mergeCell ref="C627:C633"/>
    <mergeCell ref="A627:A633"/>
    <mergeCell ref="A409:K409"/>
    <mergeCell ref="A410:A416"/>
    <mergeCell ref="B410:B416"/>
    <mergeCell ref="C410:C416"/>
    <mergeCell ref="A446:D446"/>
    <mergeCell ref="A438:A443"/>
    <mergeCell ref="K417:K423"/>
    <mergeCell ref="A424:A430"/>
    <mergeCell ref="B424:B430"/>
    <mergeCell ref="C424:C430"/>
    <mergeCell ref="D424:D430"/>
    <mergeCell ref="K424:K430"/>
    <mergeCell ref="A417:A423"/>
    <mergeCell ref="B417:B423"/>
    <mergeCell ref="C417:C423"/>
    <mergeCell ref="D417:D423"/>
    <mergeCell ref="A431:A437"/>
    <mergeCell ref="D410:D416"/>
    <mergeCell ref="K410:K416"/>
    <mergeCell ref="K393:K399"/>
    <mergeCell ref="A400:K400"/>
    <mergeCell ref="A401:K401"/>
    <mergeCell ref="A402:A408"/>
    <mergeCell ref="B402:B408"/>
    <mergeCell ref="C402:C408"/>
    <mergeCell ref="D402:D408"/>
    <mergeCell ref="K402:K408"/>
    <mergeCell ref="A393:A399"/>
    <mergeCell ref="B393:B399"/>
    <mergeCell ref="C393:C399"/>
    <mergeCell ref="D393:D399"/>
    <mergeCell ref="A246:K246"/>
    <mergeCell ref="A247:A253"/>
    <mergeCell ref="B247:B253"/>
    <mergeCell ref="C247:C253"/>
    <mergeCell ref="D247:D253"/>
    <mergeCell ref="K247:K253"/>
    <mergeCell ref="A274:D274"/>
    <mergeCell ref="A275:K275"/>
    <mergeCell ref="A276:K276"/>
    <mergeCell ref="D269:D273"/>
    <mergeCell ref="K269:K273"/>
    <mergeCell ref="B277:B283"/>
    <mergeCell ref="C277:C283"/>
    <mergeCell ref="D277:D283"/>
    <mergeCell ref="A264:A268"/>
    <mergeCell ref="B264:B268"/>
    <mergeCell ref="C264:C268"/>
    <mergeCell ref="D264:D268"/>
    <mergeCell ref="K264:K268"/>
    <mergeCell ref="A269:A273"/>
    <mergeCell ref="B269:B273"/>
    <mergeCell ref="K277:K283"/>
    <mergeCell ref="B240:B245"/>
    <mergeCell ref="A289:K289"/>
    <mergeCell ref="A290:A296"/>
    <mergeCell ref="B290:B296"/>
    <mergeCell ref="C290:C296"/>
    <mergeCell ref="A233:A239"/>
    <mergeCell ref="B233:B239"/>
    <mergeCell ref="C233:C239"/>
    <mergeCell ref="D233:D239"/>
    <mergeCell ref="K233:K239"/>
    <mergeCell ref="A254:A258"/>
    <mergeCell ref="B254:B258"/>
    <mergeCell ref="C254:C258"/>
    <mergeCell ref="D254:D258"/>
    <mergeCell ref="K254:K258"/>
    <mergeCell ref="A259:A263"/>
    <mergeCell ref="B259:B263"/>
    <mergeCell ref="C259:C263"/>
    <mergeCell ref="D259:D263"/>
    <mergeCell ref="K259:K263"/>
    <mergeCell ref="A284:A288"/>
    <mergeCell ref="K240:K245"/>
    <mergeCell ref="C269:C273"/>
    <mergeCell ref="A277:A283"/>
    <mergeCell ref="K210:K214"/>
    <mergeCell ref="B216:B222"/>
    <mergeCell ref="B210:B214"/>
    <mergeCell ref="C210:C214"/>
    <mergeCell ref="D210:D214"/>
    <mergeCell ref="A232:K232"/>
    <mergeCell ref="A216:A222"/>
    <mergeCell ref="A210:A214"/>
    <mergeCell ref="C216:C222"/>
    <mergeCell ref="D216:D222"/>
    <mergeCell ref="K216:K222"/>
    <mergeCell ref="A223:A225"/>
    <mergeCell ref="B223:B225"/>
    <mergeCell ref="C223:C225"/>
    <mergeCell ref="D223:D225"/>
    <mergeCell ref="K223:K225"/>
    <mergeCell ref="A226:A227"/>
    <mergeCell ref="B226:B227"/>
    <mergeCell ref="C226:C227"/>
    <mergeCell ref="A228:A229"/>
    <mergeCell ref="B228:B229"/>
    <mergeCell ref="C228:C229"/>
    <mergeCell ref="D228:D229"/>
    <mergeCell ref="K228:K229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K32:K53"/>
    <mergeCell ref="D39:D45"/>
    <mergeCell ref="A82:D82"/>
    <mergeCell ref="A83:K83"/>
    <mergeCell ref="A84:A90"/>
    <mergeCell ref="B84:B90"/>
    <mergeCell ref="C84:C90"/>
    <mergeCell ref="D84:D90"/>
    <mergeCell ref="K84:K90"/>
    <mergeCell ref="A77:A81"/>
    <mergeCell ref="B77:B81"/>
    <mergeCell ref="C77:C81"/>
    <mergeCell ref="D77:D81"/>
    <mergeCell ref="K77:K81"/>
    <mergeCell ref="A98:D98"/>
    <mergeCell ref="A99:K99"/>
    <mergeCell ref="C91:C97"/>
    <mergeCell ref="D91:D97"/>
    <mergeCell ref="A91:A97"/>
    <mergeCell ref="B91:B97"/>
    <mergeCell ref="K91:K97"/>
    <mergeCell ref="A115:D115"/>
    <mergeCell ref="A116:K116"/>
    <mergeCell ref="A117:K117"/>
    <mergeCell ref="A118:A124"/>
    <mergeCell ref="B118:B124"/>
    <mergeCell ref="C118:C124"/>
    <mergeCell ref="D118:D124"/>
    <mergeCell ref="K118:K124"/>
    <mergeCell ref="A100:A106"/>
    <mergeCell ref="B100:B106"/>
    <mergeCell ref="C100:C106"/>
    <mergeCell ref="D100:D106"/>
    <mergeCell ref="K100:K106"/>
    <mergeCell ref="A107:K107"/>
    <mergeCell ref="A108:A114"/>
    <mergeCell ref="B108:B114"/>
    <mergeCell ref="C108:C114"/>
    <mergeCell ref="D108:D114"/>
    <mergeCell ref="K108:K114"/>
    <mergeCell ref="A125:E125"/>
    <mergeCell ref="F125:J125"/>
    <mergeCell ref="A126:K126"/>
    <mergeCell ref="A127:K127"/>
    <mergeCell ref="K128:K134"/>
    <mergeCell ref="A135:A141"/>
    <mergeCell ref="B135:B141"/>
    <mergeCell ref="C135:C141"/>
    <mergeCell ref="D135:D141"/>
    <mergeCell ref="K135:K141"/>
    <mergeCell ref="D179:D185"/>
    <mergeCell ref="A179:A185"/>
    <mergeCell ref="K144:K157"/>
    <mergeCell ref="A151:A157"/>
    <mergeCell ref="B151:B157"/>
    <mergeCell ref="C151:C157"/>
    <mergeCell ref="D151:D157"/>
    <mergeCell ref="A128:A134"/>
    <mergeCell ref="B128:B134"/>
    <mergeCell ref="C128:C134"/>
    <mergeCell ref="D128:D134"/>
    <mergeCell ref="A142:K142"/>
    <mergeCell ref="A143:K143"/>
    <mergeCell ref="K186:K191"/>
    <mergeCell ref="A192:D192"/>
    <mergeCell ref="D172:D178"/>
    <mergeCell ref="F172:J178"/>
    <mergeCell ref="A144:A150"/>
    <mergeCell ref="B144:B150"/>
    <mergeCell ref="C144:C150"/>
    <mergeCell ref="D144:D150"/>
    <mergeCell ref="K158:K164"/>
    <mergeCell ref="A165:A171"/>
    <mergeCell ref="B165:B171"/>
    <mergeCell ref="C165:C171"/>
    <mergeCell ref="D165:D171"/>
    <mergeCell ref="K165:K171"/>
    <mergeCell ref="A158:A164"/>
    <mergeCell ref="B158:B164"/>
    <mergeCell ref="C158:C164"/>
    <mergeCell ref="D158:D164"/>
    <mergeCell ref="K172:K185"/>
    <mergeCell ref="A172:A178"/>
    <mergeCell ref="B172:B178"/>
    <mergeCell ref="C172:C178"/>
    <mergeCell ref="B179:B185"/>
    <mergeCell ref="C179:C185"/>
    <mergeCell ref="C196:C202"/>
    <mergeCell ref="D196:D202"/>
    <mergeCell ref="A203:A209"/>
    <mergeCell ref="B203:B209"/>
    <mergeCell ref="C203:C209"/>
    <mergeCell ref="D203:D209"/>
    <mergeCell ref="B186:B191"/>
    <mergeCell ref="A186:A191"/>
    <mergeCell ref="C186:C191"/>
    <mergeCell ref="D186:D191"/>
    <mergeCell ref="D431:D437"/>
    <mergeCell ref="K438:K443"/>
    <mergeCell ref="K431:K437"/>
    <mergeCell ref="A444:A445"/>
    <mergeCell ref="B444:B445"/>
    <mergeCell ref="C444:C445"/>
    <mergeCell ref="D444:D445"/>
    <mergeCell ref="K444:K445"/>
    <mergeCell ref="A471:D471"/>
    <mergeCell ref="B431:B437"/>
    <mergeCell ref="C431:C437"/>
    <mergeCell ref="A472:K472"/>
    <mergeCell ref="K464:K470"/>
    <mergeCell ref="C456:C462"/>
    <mergeCell ref="A464:A470"/>
    <mergeCell ref="B464:B470"/>
    <mergeCell ref="C464:C470"/>
    <mergeCell ref="D464:D470"/>
    <mergeCell ref="A463:K463"/>
    <mergeCell ref="K449:K462"/>
    <mergeCell ref="D456:D462"/>
    <mergeCell ref="B449:B455"/>
    <mergeCell ref="A449:A455"/>
    <mergeCell ref="A456:A462"/>
    <mergeCell ref="B456:B462"/>
    <mergeCell ref="A513:K513"/>
    <mergeCell ref="A514:A518"/>
    <mergeCell ref="B514:B518"/>
    <mergeCell ref="C514:C518"/>
    <mergeCell ref="A512:D512"/>
    <mergeCell ref="A522:K522"/>
    <mergeCell ref="A473:K473"/>
    <mergeCell ref="A474:A480"/>
    <mergeCell ref="B474:B480"/>
    <mergeCell ref="C474:C480"/>
    <mergeCell ref="D474:D480"/>
    <mergeCell ref="K474:K494"/>
    <mergeCell ref="A488:A494"/>
    <mergeCell ref="B488:B494"/>
    <mergeCell ref="C488:C494"/>
    <mergeCell ref="D488:D494"/>
    <mergeCell ref="A481:A487"/>
    <mergeCell ref="B481:B487"/>
    <mergeCell ref="C481:C487"/>
    <mergeCell ref="D481:D487"/>
    <mergeCell ref="D514:D518"/>
    <mergeCell ref="K514:K518"/>
    <mergeCell ref="A519:D519"/>
    <mergeCell ref="A520:D520"/>
    <mergeCell ref="K748:K754"/>
    <mergeCell ref="A720:D720"/>
    <mergeCell ref="A721:D721"/>
    <mergeCell ref="A722:D722"/>
    <mergeCell ref="A747:D754"/>
    <mergeCell ref="D713:D719"/>
    <mergeCell ref="A711:D711"/>
    <mergeCell ref="A712:K712"/>
    <mergeCell ref="A713:A719"/>
    <mergeCell ref="B713:B719"/>
    <mergeCell ref="C713:C719"/>
    <mergeCell ref="K713:K719"/>
    <mergeCell ref="A731:K731"/>
    <mergeCell ref="A732:A736"/>
    <mergeCell ref="B732:B736"/>
    <mergeCell ref="C732:C736"/>
    <mergeCell ref="D732:D736"/>
    <mergeCell ref="K732:K736"/>
    <mergeCell ref="D739:D743"/>
    <mergeCell ref="K739:K743"/>
    <mergeCell ref="A744:D744"/>
    <mergeCell ref="A745:D745"/>
    <mergeCell ref="A746:D746"/>
    <mergeCell ref="A723:K723"/>
    <mergeCell ref="A730:D730"/>
    <mergeCell ref="A737:D737"/>
    <mergeCell ref="A738:K738"/>
    <mergeCell ref="A739:A743"/>
    <mergeCell ref="B739:B743"/>
    <mergeCell ref="C739:C743"/>
    <mergeCell ref="B662:B668"/>
    <mergeCell ref="C662:C668"/>
    <mergeCell ref="A704:A710"/>
    <mergeCell ref="B704:B710"/>
    <mergeCell ref="C704:C710"/>
    <mergeCell ref="A697:A703"/>
    <mergeCell ref="A681:K681"/>
    <mergeCell ref="A682:K682"/>
    <mergeCell ref="A679:D679"/>
    <mergeCell ref="A690:A696"/>
    <mergeCell ref="B690:B696"/>
    <mergeCell ref="C690:C696"/>
    <mergeCell ref="A683:A689"/>
    <mergeCell ref="B683:B689"/>
    <mergeCell ref="C683:C689"/>
    <mergeCell ref="D662:D668"/>
    <mergeCell ref="A669:D669"/>
    <mergeCell ref="D683:D689"/>
    <mergeCell ref="A678:D678"/>
    <mergeCell ref="K671:K677"/>
    <mergeCell ref="D671:D677"/>
    <mergeCell ref="A634:A640"/>
    <mergeCell ref="B634:B640"/>
    <mergeCell ref="C634:C640"/>
    <mergeCell ref="D634:D640"/>
    <mergeCell ref="A641:A647"/>
    <mergeCell ref="B641:B647"/>
    <mergeCell ref="A655:A661"/>
    <mergeCell ref="B655:B661"/>
    <mergeCell ref="C655:C661"/>
    <mergeCell ref="D655:D661"/>
    <mergeCell ref="A648:A654"/>
    <mergeCell ref="A583:D583"/>
    <mergeCell ref="A617:D617"/>
    <mergeCell ref="A603:A609"/>
    <mergeCell ref="B603:B609"/>
    <mergeCell ref="C603:C609"/>
    <mergeCell ref="A610:A616"/>
    <mergeCell ref="B610:B616"/>
    <mergeCell ref="C610:C616"/>
    <mergeCell ref="D610:D616"/>
    <mergeCell ref="D603:D609"/>
    <mergeCell ref="A584:K584"/>
    <mergeCell ref="A585:K585"/>
    <mergeCell ref="D586:D592"/>
    <mergeCell ref="K586:K592"/>
    <mergeCell ref="A620:A626"/>
    <mergeCell ref="B620:B626"/>
    <mergeCell ref="A601:K601"/>
    <mergeCell ref="K593:K599"/>
    <mergeCell ref="A586:A592"/>
    <mergeCell ref="B586:B592"/>
    <mergeCell ref="C586:C592"/>
    <mergeCell ref="A602:K602"/>
    <mergeCell ref="K662:K668"/>
    <mergeCell ref="A662:A668"/>
    <mergeCell ref="C620:C626"/>
    <mergeCell ref="D620:D626"/>
    <mergeCell ref="K620:K633"/>
    <mergeCell ref="A618:K618"/>
    <mergeCell ref="A619:K619"/>
    <mergeCell ref="B648:B654"/>
    <mergeCell ref="C648:C654"/>
    <mergeCell ref="D648:D654"/>
    <mergeCell ref="C641:C647"/>
    <mergeCell ref="D641:D647"/>
    <mergeCell ref="B627:B633"/>
    <mergeCell ref="K569:K575"/>
    <mergeCell ref="K576:K582"/>
    <mergeCell ref="K555:K561"/>
    <mergeCell ref="C524:C530"/>
    <mergeCell ref="D524:D530"/>
    <mergeCell ref="K524:K551"/>
    <mergeCell ref="A538:A544"/>
    <mergeCell ref="B538:B544"/>
    <mergeCell ref="D545:D551"/>
    <mergeCell ref="A562:A568"/>
    <mergeCell ref="A569:A575"/>
    <mergeCell ref="B569:B575"/>
    <mergeCell ref="C569:C575"/>
    <mergeCell ref="D555:D561"/>
    <mergeCell ref="A576:A582"/>
    <mergeCell ref="B576:B582"/>
    <mergeCell ref="C576:C582"/>
    <mergeCell ref="D576:D582"/>
    <mergeCell ref="B545:B551"/>
    <mergeCell ref="C545:C551"/>
    <mergeCell ref="B555:B561"/>
    <mergeCell ref="C555:C561"/>
    <mergeCell ref="A545:A551"/>
    <mergeCell ref="A552:D552"/>
    <mergeCell ref="A553:K553"/>
    <mergeCell ref="A554:K554"/>
    <mergeCell ref="K495:K501"/>
    <mergeCell ref="A502:D502"/>
    <mergeCell ref="A503:K503"/>
    <mergeCell ref="A504:K504"/>
    <mergeCell ref="A495:A501"/>
    <mergeCell ref="B495:B501"/>
    <mergeCell ref="C495:C501"/>
    <mergeCell ref="D495:D501"/>
    <mergeCell ref="C538:C544"/>
    <mergeCell ref="D538:D544"/>
    <mergeCell ref="K505:K511"/>
    <mergeCell ref="A505:A511"/>
    <mergeCell ref="B505:B511"/>
    <mergeCell ref="C505:C511"/>
    <mergeCell ref="D505:D511"/>
    <mergeCell ref="A531:A537"/>
    <mergeCell ref="B531:B537"/>
    <mergeCell ref="C531:C537"/>
    <mergeCell ref="D531:D537"/>
    <mergeCell ref="A523:K523"/>
    <mergeCell ref="A524:A530"/>
    <mergeCell ref="B524:B530"/>
    <mergeCell ref="M93:O93"/>
    <mergeCell ref="M241:O241"/>
    <mergeCell ref="D46:D48"/>
    <mergeCell ref="A389:D389"/>
    <mergeCell ref="A391:K391"/>
    <mergeCell ref="A392:K392"/>
    <mergeCell ref="A381:A387"/>
    <mergeCell ref="K312:K318"/>
    <mergeCell ref="K319:K325"/>
    <mergeCell ref="A326:A332"/>
    <mergeCell ref="B326:B332"/>
    <mergeCell ref="C326:C332"/>
    <mergeCell ref="D319:D325"/>
    <mergeCell ref="A356:D356"/>
    <mergeCell ref="K333:K339"/>
    <mergeCell ref="D326:D332"/>
    <mergeCell ref="K326:K332"/>
    <mergeCell ref="C240:C245"/>
    <mergeCell ref="D240:D245"/>
    <mergeCell ref="A240:A245"/>
    <mergeCell ref="K302:K308"/>
    <mergeCell ref="C302:C308"/>
    <mergeCell ref="D302:D308"/>
    <mergeCell ref="A310:K310"/>
    <mergeCell ref="A55:K55"/>
    <mergeCell ref="A39:A45"/>
    <mergeCell ref="B39:B45"/>
    <mergeCell ref="A56:A62"/>
    <mergeCell ref="C46:C48"/>
    <mergeCell ref="A49:A51"/>
    <mergeCell ref="B49:B51"/>
    <mergeCell ref="C49:C51"/>
    <mergeCell ref="D49:D51"/>
    <mergeCell ref="B56:B62"/>
    <mergeCell ref="C56:C62"/>
    <mergeCell ref="D56:D62"/>
    <mergeCell ref="K56:K69"/>
    <mergeCell ref="A63:A69"/>
    <mergeCell ref="A54:D54"/>
    <mergeCell ref="C39:C45"/>
    <mergeCell ref="A46:A48"/>
    <mergeCell ref="B46:B48"/>
    <mergeCell ref="A52:A53"/>
    <mergeCell ref="B52:B53"/>
    <mergeCell ref="C52:C53"/>
    <mergeCell ref="D52:D53"/>
    <mergeCell ref="D290:D296"/>
    <mergeCell ref="K290:K296"/>
    <mergeCell ref="A309:D309"/>
    <mergeCell ref="A311:K311"/>
    <mergeCell ref="A302:A308"/>
    <mergeCell ref="B302:B308"/>
    <mergeCell ref="B63:B69"/>
    <mergeCell ref="C63:C69"/>
    <mergeCell ref="D63:D69"/>
    <mergeCell ref="A70:A76"/>
    <mergeCell ref="B70:B76"/>
    <mergeCell ref="C70:C76"/>
    <mergeCell ref="D70:D76"/>
    <mergeCell ref="K70:K76"/>
    <mergeCell ref="D226:D227"/>
    <mergeCell ref="K226:K227"/>
    <mergeCell ref="F179:J184"/>
    <mergeCell ref="K203:K209"/>
    <mergeCell ref="A193:D193"/>
    <mergeCell ref="A194:K194"/>
    <mergeCell ref="A195:K195"/>
    <mergeCell ref="K196:K202"/>
    <mergeCell ref="A196:A202"/>
    <mergeCell ref="B196:B202"/>
    <mergeCell ref="A297:A301"/>
    <mergeCell ref="B297:B301"/>
    <mergeCell ref="C297:C301"/>
    <mergeCell ref="D297:D301"/>
    <mergeCell ref="K297:K301"/>
    <mergeCell ref="B312:B318"/>
    <mergeCell ref="C312:C318"/>
    <mergeCell ref="D312:D318"/>
    <mergeCell ref="A340:A345"/>
    <mergeCell ref="B340:B345"/>
    <mergeCell ref="C340:C345"/>
    <mergeCell ref="D340:D345"/>
    <mergeCell ref="K340:K345"/>
    <mergeCell ref="A319:A325"/>
    <mergeCell ref="B319:B325"/>
    <mergeCell ref="C319:C325"/>
    <mergeCell ref="A312:A318"/>
    <mergeCell ref="A333:A339"/>
    <mergeCell ref="B333:B339"/>
    <mergeCell ref="C333:C339"/>
    <mergeCell ref="D333:D339"/>
    <mergeCell ref="C230:C231"/>
    <mergeCell ref="D230:D231"/>
    <mergeCell ref="A351:A355"/>
    <mergeCell ref="B351:B355"/>
    <mergeCell ref="C351:C355"/>
    <mergeCell ref="D351:D355"/>
    <mergeCell ref="C449:C455"/>
    <mergeCell ref="D449:D455"/>
    <mergeCell ref="A447:K447"/>
    <mergeCell ref="A448:K448"/>
    <mergeCell ref="C438:C443"/>
    <mergeCell ref="D438:D443"/>
    <mergeCell ref="B438:B443"/>
    <mergeCell ref="A357:E357"/>
    <mergeCell ref="A358:A364"/>
    <mergeCell ref="B358:B364"/>
    <mergeCell ref="C358:C364"/>
    <mergeCell ref="D358:D364"/>
    <mergeCell ref="A388:D388"/>
    <mergeCell ref="K351:K355"/>
    <mergeCell ref="B284:B288"/>
    <mergeCell ref="C284:C288"/>
    <mergeCell ref="D284:D288"/>
    <mergeCell ref="K284:K288"/>
    <mergeCell ref="D569:D575"/>
    <mergeCell ref="B562:B568"/>
    <mergeCell ref="C562:C568"/>
    <mergeCell ref="D562:D568"/>
    <mergeCell ref="K562:K568"/>
    <mergeCell ref="A555:A561"/>
    <mergeCell ref="K230:K231"/>
    <mergeCell ref="A670:K670"/>
    <mergeCell ref="B671:B677"/>
    <mergeCell ref="A671:A677"/>
    <mergeCell ref="E675:E677"/>
    <mergeCell ref="F675:F677"/>
    <mergeCell ref="G675:G677"/>
    <mergeCell ref="H675:H677"/>
    <mergeCell ref="I675:I677"/>
    <mergeCell ref="J675:J677"/>
    <mergeCell ref="A346:A350"/>
    <mergeCell ref="B346:B350"/>
    <mergeCell ref="C346:C350"/>
    <mergeCell ref="D346:D350"/>
    <mergeCell ref="K346:K350"/>
    <mergeCell ref="A365:A369"/>
    <mergeCell ref="A230:A231"/>
    <mergeCell ref="B230:B231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69" orientation="landscape" r:id="rId1"/>
  <headerFooter alignWithMargins="0"/>
  <rowBreaks count="23" manualBreakCount="23">
    <brk id="30" max="10" man="1"/>
    <brk id="51" max="10" man="1"/>
    <brk id="54" max="10" man="1"/>
    <brk id="82" max="10" man="1"/>
    <brk id="125" max="10" man="1"/>
    <brk id="157" max="10" man="1"/>
    <brk id="193" max="10" man="1"/>
    <brk id="225" max="10" man="1"/>
    <brk id="263" max="10" man="1"/>
    <brk id="274" max="10" man="1"/>
    <brk id="309" max="10" man="1"/>
    <brk id="345" max="10" man="1"/>
    <brk id="379" max="10" man="1"/>
    <brk id="390" max="10" man="1"/>
    <brk id="430" max="10" man="1"/>
    <brk id="471" max="10" man="1"/>
    <brk id="518" max="10" man="1"/>
    <brk id="521" max="10" man="1"/>
    <brk id="552" max="10" man="1"/>
    <brk id="592" max="10" man="1"/>
    <brk id="633" max="10" man="1"/>
    <brk id="678" max="10" man="1"/>
    <brk id="74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январь 2018г</vt:lpstr>
      <vt:lpstr>Лист2</vt:lpstr>
      <vt:lpstr>'январь 2018г'!Область_печати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Microsoft Office</cp:lastModifiedBy>
  <cp:lastPrinted>2018-03-05T02:06:23Z</cp:lastPrinted>
  <dcterms:created xsi:type="dcterms:W3CDTF">1996-10-08T23:32:33Z</dcterms:created>
  <dcterms:modified xsi:type="dcterms:W3CDTF">2018-03-05T02:07:38Z</dcterms:modified>
</cp:coreProperties>
</file>