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buhruk\Desktop\программа новая 2019\программа март 2021\"/>
    </mc:Choice>
  </mc:AlternateContent>
  <bookViews>
    <workbookView xWindow="0" yWindow="0" windowWidth="28800" windowHeight="12435"/>
  </bookViews>
  <sheets>
    <sheet name="программа" sheetId="1" r:id="rId1"/>
    <sheet name="Лист1" sheetId="2" r:id="rId2"/>
  </sheets>
  <definedNames>
    <definedName name="_xlnm.Print_Area" localSheetId="0">программа!$A$1:$K$1068</definedName>
  </definedNames>
  <calcPr calcId="152511"/>
</workbook>
</file>

<file path=xl/calcChain.xml><?xml version="1.0" encoding="utf-8"?>
<calcChain xmlns="http://schemas.openxmlformats.org/spreadsheetml/2006/main">
  <c r="F1063" i="1" l="1"/>
  <c r="F1064" i="1"/>
  <c r="F1065" i="1"/>
  <c r="F1066" i="1"/>
  <c r="F1067" i="1"/>
  <c r="F1062" i="1"/>
  <c r="H1065" i="1"/>
  <c r="G1065" i="1"/>
  <c r="I1063" i="1"/>
  <c r="H1063" i="1"/>
  <c r="G1064" i="1"/>
  <c r="G1063" i="1"/>
  <c r="G1062" i="1"/>
  <c r="F1014" i="1"/>
  <c r="F745" i="1"/>
  <c r="I745" i="1"/>
  <c r="I597" i="1"/>
  <c r="F597" i="1"/>
  <c r="F570" i="1"/>
  <c r="F393" i="1"/>
  <c r="F394" i="1"/>
  <c r="F395" i="1"/>
  <c r="F396" i="1"/>
  <c r="F397" i="1"/>
  <c r="F398" i="1"/>
  <c r="F399" i="1"/>
  <c r="F400" i="1"/>
  <c r="F401" i="1"/>
  <c r="F402" i="1"/>
  <c r="F392" i="1"/>
  <c r="F470" i="1"/>
  <c r="F463" i="1"/>
  <c r="F453" i="1"/>
  <c r="G327" i="1"/>
  <c r="H327" i="1"/>
  <c r="I327" i="1"/>
  <c r="F327" i="1"/>
  <c r="I1049" i="1"/>
  <c r="I1048" i="1"/>
  <c r="I1047" i="1"/>
  <c r="I1037" i="1"/>
  <c r="I1036" i="1"/>
  <c r="I1035" i="1"/>
  <c r="I1025" i="1"/>
  <c r="I1024" i="1"/>
  <c r="I1023" i="1"/>
  <c r="I1003" i="1"/>
  <c r="I1002" i="1"/>
  <c r="I1001" i="1"/>
  <c r="I989" i="1"/>
  <c r="I988" i="1"/>
  <c r="I987" i="1"/>
  <c r="I977" i="1"/>
  <c r="I976" i="1"/>
  <c r="I975" i="1"/>
  <c r="I965" i="1"/>
  <c r="I964" i="1"/>
  <c r="I963" i="1"/>
  <c r="I953" i="1"/>
  <c r="I952" i="1"/>
  <c r="I951" i="1"/>
  <c r="I933" i="1"/>
  <c r="H933" i="1"/>
  <c r="I922" i="1"/>
  <c r="I889" i="1"/>
  <c r="I877" i="1"/>
  <c r="F859" i="1"/>
  <c r="F858" i="1"/>
  <c r="I860" i="1"/>
  <c r="I844" i="1"/>
  <c r="I842" i="1"/>
  <c r="I832" i="1"/>
  <c r="I810" i="1"/>
  <c r="I781" i="1"/>
  <c r="I769" i="1"/>
  <c r="I754" i="1"/>
  <c r="H754" i="1"/>
  <c r="H753" i="1"/>
  <c r="H752" i="1"/>
  <c r="H734" i="1"/>
  <c r="H733" i="1"/>
  <c r="H732" i="1"/>
  <c r="H722" i="1"/>
  <c r="H711" i="1"/>
  <c r="I648" i="1"/>
  <c r="T709" i="1"/>
  <c r="S709" i="1"/>
  <c r="U709" i="1" s="1"/>
  <c r="Q709" i="1"/>
  <c r="P709" i="1"/>
  <c r="R709" i="1" s="1"/>
  <c r="O709" i="1"/>
  <c r="N709" i="1"/>
  <c r="M709" i="1"/>
  <c r="G709" i="1"/>
  <c r="F709" i="1"/>
  <c r="I708" i="1"/>
  <c r="I709" i="1" s="1"/>
  <c r="H708" i="1"/>
  <c r="H709" i="1" s="1"/>
  <c r="F708" i="1"/>
  <c r="H697" i="1"/>
  <c r="H696" i="1"/>
  <c r="H695" i="1"/>
  <c r="I685" i="1"/>
  <c r="I684" i="1"/>
  <c r="I683" i="1"/>
  <c r="H685" i="1"/>
  <c r="H684" i="1"/>
  <c r="H683" i="1"/>
  <c r="I616" i="1" l="1"/>
  <c r="F596" i="1"/>
  <c r="F595" i="1"/>
  <c r="I578" i="1"/>
  <c r="I576" i="1"/>
  <c r="I551" i="1"/>
  <c r="I550" i="1"/>
  <c r="I549" i="1"/>
  <c r="I526" i="1"/>
  <c r="I524" i="1"/>
  <c r="H514" i="1"/>
  <c r="H513" i="1"/>
  <c r="I491" i="1"/>
  <c r="I481" i="1"/>
  <c r="H450" i="1"/>
  <c r="H449" i="1"/>
  <c r="H448" i="1"/>
  <c r="F441" i="1"/>
  <c r="F442" i="1"/>
  <c r="I431" i="1"/>
  <c r="I429" i="1"/>
  <c r="H412" i="1"/>
  <c r="H411" i="1"/>
  <c r="H410" i="1"/>
  <c r="H400" i="1"/>
  <c r="I399" i="1"/>
  <c r="H399" i="1"/>
  <c r="I398" i="1"/>
  <c r="H398" i="1"/>
  <c r="H378" i="1"/>
  <c r="H377" i="1"/>
  <c r="H376" i="1"/>
  <c r="H368" i="1"/>
  <c r="H367" i="1"/>
  <c r="H366" i="1"/>
  <c r="H348" i="1"/>
  <c r="H347" i="1"/>
  <c r="H346" i="1"/>
  <c r="I338" i="1"/>
  <c r="H338" i="1"/>
  <c r="I337" i="1"/>
  <c r="H337" i="1"/>
  <c r="I336" i="1"/>
  <c r="H336" i="1"/>
  <c r="H313" i="1"/>
  <c r="H312" i="1"/>
  <c r="H311" i="1"/>
  <c r="I298" i="1"/>
  <c r="H298" i="1"/>
  <c r="I297" i="1"/>
  <c r="H297" i="1"/>
  <c r="I296" i="1"/>
  <c r="H296" i="1"/>
  <c r="F287" i="1"/>
  <c r="J272" i="1"/>
  <c r="I272" i="1"/>
  <c r="H269" i="1"/>
  <c r="H272" i="1" s="1"/>
  <c r="G269" i="1"/>
  <c r="G272" i="1" s="1"/>
  <c r="I252" i="1"/>
  <c r="H252" i="1"/>
  <c r="F252" i="1" s="1"/>
  <c r="I251" i="1"/>
  <c r="H251" i="1"/>
  <c r="I250" i="1"/>
  <c r="H250" i="1"/>
  <c r="F241" i="1"/>
  <c r="F240" i="1"/>
  <c r="F239" i="1"/>
  <c r="F238" i="1"/>
  <c r="I242" i="1"/>
  <c r="H237" i="1"/>
  <c r="F237" i="1" s="1"/>
  <c r="I225" i="1"/>
  <c r="H225" i="1"/>
  <c r="I223" i="1"/>
  <c r="H209" i="1"/>
  <c r="H208" i="1"/>
  <c r="H207" i="1"/>
  <c r="I170" i="1"/>
  <c r="I169" i="1"/>
  <c r="I168" i="1"/>
  <c r="H158" i="1"/>
  <c r="H157" i="1"/>
  <c r="H156" i="1"/>
  <c r="F102" i="1"/>
  <c r="F101" i="1"/>
  <c r="F84" i="1"/>
  <c r="F86" i="1"/>
  <c r="F93" i="1"/>
  <c r="F92" i="1"/>
  <c r="F91" i="1"/>
  <c r="F90" i="1"/>
  <c r="F89" i="1"/>
  <c r="H77" i="1"/>
  <c r="H76" i="1"/>
  <c r="H75" i="1"/>
  <c r="I67" i="1"/>
  <c r="I66" i="1"/>
  <c r="I65" i="1"/>
  <c r="I36" i="1"/>
  <c r="H36" i="1"/>
  <c r="I35" i="1"/>
  <c r="H35" i="1"/>
  <c r="F242" i="1" l="1"/>
  <c r="F269" i="1"/>
  <c r="F272" i="1" s="1"/>
  <c r="H242" i="1"/>
  <c r="I1046" i="1"/>
  <c r="I1034" i="1"/>
  <c r="I1022" i="1"/>
  <c r="I1000" i="1"/>
  <c r="I986" i="1"/>
  <c r="J974" i="1"/>
  <c r="I974" i="1"/>
  <c r="J962" i="1"/>
  <c r="I962" i="1"/>
  <c r="J950" i="1"/>
  <c r="I950" i="1"/>
  <c r="I886" i="1"/>
  <c r="I874" i="1"/>
  <c r="I856" i="1"/>
  <c r="I841" i="1"/>
  <c r="I829" i="1"/>
  <c r="I807" i="1"/>
  <c r="I778" i="1"/>
  <c r="I766" i="1"/>
  <c r="H751" i="1"/>
  <c r="H731" i="1"/>
  <c r="H694" i="1"/>
  <c r="I613" i="1"/>
  <c r="I645" i="1"/>
  <c r="I602" i="1"/>
  <c r="H602" i="1"/>
  <c r="I593" i="1"/>
  <c r="I575" i="1"/>
  <c r="I548" i="1"/>
  <c r="I320" i="1"/>
  <c r="I310" i="1"/>
  <c r="H310" i="1"/>
  <c r="F310" i="1" s="1"/>
  <c r="I295" i="1"/>
  <c r="H295" i="1"/>
  <c r="H249" i="1"/>
  <c r="G316" i="1"/>
  <c r="I523" i="1"/>
  <c r="I488" i="1"/>
  <c r="G470" i="1"/>
  <c r="H470" i="1"/>
  <c r="F469" i="1"/>
  <c r="F468" i="1"/>
  <c r="F467" i="1"/>
  <c r="I470" i="1"/>
  <c r="F466" i="1"/>
  <c r="F465" i="1"/>
  <c r="F464" i="1"/>
  <c r="H447" i="1"/>
  <c r="G453" i="1"/>
  <c r="I428" i="1"/>
  <c r="I397" i="1"/>
  <c r="H397" i="1"/>
  <c r="H279" i="1"/>
  <c r="H345" i="1"/>
  <c r="I335" i="1"/>
  <c r="H335" i="1"/>
  <c r="G471" i="1" l="1"/>
  <c r="G358" i="1"/>
  <c r="G389" i="1" s="1"/>
  <c r="F357" i="1"/>
  <c r="F356" i="1"/>
  <c r="F355" i="1"/>
  <c r="F354" i="1"/>
  <c r="F353" i="1"/>
  <c r="H358" i="1"/>
  <c r="I286" i="1"/>
  <c r="I279" i="1"/>
  <c r="F352" i="1" l="1"/>
  <c r="F358" i="1" s="1"/>
  <c r="I249" i="1"/>
  <c r="H206" i="1"/>
  <c r="I167" i="1"/>
  <c r="H155" i="1"/>
  <c r="I99" i="1"/>
  <c r="I88" i="1"/>
  <c r="H88" i="1"/>
  <c r="H74" i="1"/>
  <c r="I64" i="1"/>
  <c r="I34" i="1"/>
  <c r="H34" i="1"/>
  <c r="P529" i="1" l="1"/>
  <c r="P528" i="1"/>
  <c r="P527" i="1"/>
  <c r="O529" i="1"/>
  <c r="O528" i="1"/>
  <c r="O527" i="1"/>
  <c r="P210" i="1"/>
  <c r="P209" i="1"/>
  <c r="P208" i="1"/>
  <c r="P205" i="1"/>
  <c r="O210" i="1"/>
  <c r="N210" i="1" s="1"/>
  <c r="O209" i="1"/>
  <c r="N209" i="1" s="1"/>
  <c r="O208" i="1"/>
  <c r="O205" i="1"/>
  <c r="N529" i="1" l="1"/>
  <c r="N208" i="1"/>
  <c r="N528" i="1"/>
  <c r="N527" i="1"/>
  <c r="N205" i="1"/>
  <c r="J1064" i="1"/>
  <c r="I1067" i="1" l="1"/>
  <c r="H1067" i="1"/>
  <c r="I1066" i="1"/>
  <c r="H1066" i="1"/>
  <c r="I1065" i="1"/>
  <c r="H409" i="1"/>
  <c r="H365" i="1"/>
  <c r="F225" i="1"/>
  <c r="F226" i="1"/>
  <c r="F227" i="1"/>
  <c r="F1012" i="1"/>
  <c r="F1011" i="1"/>
  <c r="F1010" i="1"/>
  <c r="F1009" i="1"/>
  <c r="F1008" i="1"/>
  <c r="F1007" i="1"/>
  <c r="I1013" i="1"/>
  <c r="F1013" i="1" l="1"/>
  <c r="F931" i="1"/>
  <c r="F932" i="1"/>
  <c r="F933" i="1"/>
  <c r="F934" i="1"/>
  <c r="F935" i="1"/>
  <c r="F936" i="1"/>
  <c r="I921" i="1"/>
  <c r="I888" i="1"/>
  <c r="I876" i="1"/>
  <c r="I843" i="1"/>
  <c r="I831" i="1"/>
  <c r="I780" i="1"/>
  <c r="I779" i="1"/>
  <c r="P941" i="1"/>
  <c r="H721" i="1"/>
  <c r="H720" i="1"/>
  <c r="H719" i="1"/>
  <c r="O941" i="1" s="1"/>
  <c r="O695" i="1"/>
  <c r="I647" i="1"/>
  <c r="I615" i="1"/>
  <c r="P695" i="1" l="1"/>
  <c r="I525" i="1"/>
  <c r="H512" i="1"/>
  <c r="H511" i="1"/>
  <c r="I490" i="1"/>
  <c r="I480" i="1"/>
  <c r="I478" i="1"/>
  <c r="I439" i="1"/>
  <c r="H375" i="1"/>
  <c r="F251" i="1"/>
  <c r="P524" i="1" l="1"/>
  <c r="P525" i="1"/>
  <c r="O526" i="1"/>
  <c r="P526" i="1"/>
  <c r="O524" i="1"/>
  <c r="N524" i="1" s="1"/>
  <c r="O207" i="1"/>
  <c r="O206" i="1"/>
  <c r="I1062" i="1"/>
  <c r="F36" i="1"/>
  <c r="I1064" i="1" l="1"/>
  <c r="P207" i="1"/>
  <c r="N207" i="1" s="1"/>
  <c r="P206" i="1"/>
  <c r="N206" i="1" s="1"/>
  <c r="N526" i="1"/>
  <c r="H1064" i="1"/>
  <c r="H1062" i="1"/>
  <c r="H510" i="1" l="1"/>
  <c r="I1045" i="1"/>
  <c r="I1033" i="1"/>
  <c r="I1021" i="1"/>
  <c r="I999" i="1"/>
  <c r="I930" i="1"/>
  <c r="I855" i="1"/>
  <c r="I840" i="1"/>
  <c r="I806" i="1"/>
  <c r="I777" i="1"/>
  <c r="H750" i="1"/>
  <c r="I742" i="1"/>
  <c r="H693" i="1"/>
  <c r="I633" i="1"/>
  <c r="I612" i="1"/>
  <c r="I574" i="1"/>
  <c r="I547" i="1"/>
  <c r="I522" i="1"/>
  <c r="H446" i="1"/>
  <c r="I427" i="1"/>
  <c r="H408" i="1"/>
  <c r="I396" i="1"/>
  <c r="I403" i="1" s="1"/>
  <c r="H396" i="1"/>
  <c r="H344" i="1"/>
  <c r="I334" i="1"/>
  <c r="H334" i="1"/>
  <c r="I319" i="1"/>
  <c r="I309" i="1"/>
  <c r="H309" i="1"/>
  <c r="I294" i="1"/>
  <c r="H294" i="1"/>
  <c r="I285" i="1"/>
  <c r="I248" i="1"/>
  <c r="H248" i="1"/>
  <c r="I221" i="1"/>
  <c r="I228" i="1" s="1"/>
  <c r="I166" i="1"/>
  <c r="H154" i="1"/>
  <c r="I98" i="1"/>
  <c r="H73" i="1"/>
  <c r="I63" i="1"/>
  <c r="I33" i="1"/>
  <c r="I961" i="1" l="1"/>
  <c r="I949" i="1"/>
  <c r="H937" i="1"/>
  <c r="H940" i="1" s="1"/>
  <c r="F930" i="1"/>
  <c r="I937" i="1"/>
  <c r="I940" i="1" s="1"/>
  <c r="I765" i="1"/>
  <c r="I592" i="1"/>
  <c r="I456" i="1"/>
  <c r="I438" i="1"/>
  <c r="I443" i="1" s="1"/>
  <c r="H374" i="1"/>
  <c r="H364" i="1"/>
  <c r="H205" i="1"/>
  <c r="F937" i="1" l="1"/>
  <c r="F940" i="1" s="1"/>
  <c r="D5" i="2"/>
  <c r="C5" i="2"/>
  <c r="P1058" i="1" l="1"/>
  <c r="J961" i="1" l="1"/>
  <c r="I985" i="1"/>
  <c r="J973" i="1"/>
  <c r="I973" i="1"/>
  <c r="J949" i="1"/>
  <c r="J1061" i="1" s="1"/>
  <c r="I918" i="1"/>
  <c r="H718" i="1"/>
  <c r="C3" i="2"/>
  <c r="C7" i="2" s="1"/>
  <c r="F44" i="1"/>
  <c r="H33" i="1"/>
  <c r="B5" i="2" l="1"/>
  <c r="J1067" i="1" l="1"/>
  <c r="J1066" i="1"/>
  <c r="J1065" i="1"/>
  <c r="J1062" i="1"/>
  <c r="F1051" i="1"/>
  <c r="F1050" i="1"/>
  <c r="F1049" i="1"/>
  <c r="F1048" i="1"/>
  <c r="F1047" i="1"/>
  <c r="F1039" i="1"/>
  <c r="F1038" i="1"/>
  <c r="F1037" i="1"/>
  <c r="F1036" i="1"/>
  <c r="F1035" i="1"/>
  <c r="F1027" i="1"/>
  <c r="F1026" i="1"/>
  <c r="F1025" i="1"/>
  <c r="F1024" i="1"/>
  <c r="F1023" i="1"/>
  <c r="F1005" i="1"/>
  <c r="F1004" i="1"/>
  <c r="F1003" i="1"/>
  <c r="F1002" i="1"/>
  <c r="F1001" i="1"/>
  <c r="F991" i="1"/>
  <c r="F990" i="1"/>
  <c r="F989" i="1"/>
  <c r="F988" i="1"/>
  <c r="F987" i="1"/>
  <c r="F979" i="1"/>
  <c r="F978" i="1"/>
  <c r="F977" i="1"/>
  <c r="F976" i="1"/>
  <c r="F975" i="1"/>
  <c r="F967" i="1"/>
  <c r="F966" i="1"/>
  <c r="F965" i="1"/>
  <c r="F963" i="1"/>
  <c r="F955" i="1"/>
  <c r="F954" i="1"/>
  <c r="F953" i="1"/>
  <c r="F952" i="1"/>
  <c r="F951" i="1"/>
  <c r="F919" i="1"/>
  <c r="F920" i="1"/>
  <c r="F921" i="1"/>
  <c r="F922" i="1"/>
  <c r="F923" i="1"/>
  <c r="F924" i="1"/>
  <c r="I892" i="1"/>
  <c r="F891" i="1"/>
  <c r="F890" i="1"/>
  <c r="F889" i="1"/>
  <c r="F888" i="1"/>
  <c r="F887" i="1"/>
  <c r="I880" i="1"/>
  <c r="F879" i="1"/>
  <c r="F878" i="1"/>
  <c r="F877" i="1"/>
  <c r="F876" i="1"/>
  <c r="F875" i="1"/>
  <c r="F867" i="1"/>
  <c r="F857" i="1"/>
  <c r="I847" i="1"/>
  <c r="F846" i="1"/>
  <c r="F845" i="1"/>
  <c r="F844" i="1"/>
  <c r="F843" i="1"/>
  <c r="F842" i="1"/>
  <c r="I835" i="1"/>
  <c r="F834" i="1"/>
  <c r="F833" i="1"/>
  <c r="F832" i="1"/>
  <c r="F831" i="1"/>
  <c r="F830" i="1"/>
  <c r="F812" i="1"/>
  <c r="F811" i="1"/>
  <c r="F810" i="1"/>
  <c r="F809" i="1"/>
  <c r="F808" i="1"/>
  <c r="F783" i="1"/>
  <c r="F782" i="1"/>
  <c r="F781" i="1"/>
  <c r="F780" i="1"/>
  <c r="F779" i="1"/>
  <c r="F771" i="1"/>
  <c r="F770" i="1"/>
  <c r="F769" i="1"/>
  <c r="F768" i="1"/>
  <c r="F767" i="1"/>
  <c r="F756" i="1"/>
  <c r="F755" i="1"/>
  <c r="F754" i="1"/>
  <c r="P753" i="1"/>
  <c r="S753" i="1" s="1"/>
  <c r="F753" i="1"/>
  <c r="F752" i="1"/>
  <c r="F744" i="1"/>
  <c r="F736" i="1"/>
  <c r="F735" i="1"/>
  <c r="F734" i="1"/>
  <c r="F733" i="1"/>
  <c r="F732" i="1"/>
  <c r="F724" i="1"/>
  <c r="F723" i="1"/>
  <c r="F722" i="1"/>
  <c r="F721" i="1"/>
  <c r="F720" i="1"/>
  <c r="F699" i="1"/>
  <c r="F698" i="1"/>
  <c r="I697" i="1"/>
  <c r="F697" i="1" s="1"/>
  <c r="F696" i="1"/>
  <c r="F695" i="1"/>
  <c r="F687" i="1"/>
  <c r="F686" i="1"/>
  <c r="F685" i="1"/>
  <c r="F684" i="1"/>
  <c r="F683" i="1"/>
  <c r="F673" i="1"/>
  <c r="F665" i="1"/>
  <c r="F650" i="1"/>
  <c r="F649" i="1"/>
  <c r="F648" i="1"/>
  <c r="F647" i="1"/>
  <c r="F646" i="1"/>
  <c r="F635" i="1"/>
  <c r="F626" i="1"/>
  <c r="F618" i="1"/>
  <c r="F617" i="1"/>
  <c r="F616" i="1"/>
  <c r="F615" i="1"/>
  <c r="F614" i="1"/>
  <c r="F602" i="1"/>
  <c r="F603" i="1"/>
  <c r="F601" i="1"/>
  <c r="I604" i="1"/>
  <c r="H604" i="1"/>
  <c r="J604" i="1"/>
  <c r="F594" i="1"/>
  <c r="F580" i="1"/>
  <c r="F579" i="1"/>
  <c r="F578" i="1"/>
  <c r="F577" i="1"/>
  <c r="F576" i="1"/>
  <c r="F553" i="1"/>
  <c r="F552" i="1"/>
  <c r="F551" i="1"/>
  <c r="F550" i="1"/>
  <c r="F549" i="1"/>
  <c r="F528" i="1"/>
  <c r="F527" i="1"/>
  <c r="F526" i="1"/>
  <c r="F525" i="1"/>
  <c r="F524" i="1"/>
  <c r="F516" i="1"/>
  <c r="F515" i="1"/>
  <c r="F514" i="1"/>
  <c r="F513" i="1"/>
  <c r="F512" i="1"/>
  <c r="I494" i="1"/>
  <c r="F493" i="1"/>
  <c r="F492" i="1"/>
  <c r="F491" i="1"/>
  <c r="F490" i="1"/>
  <c r="F489" i="1"/>
  <c r="F483" i="1"/>
  <c r="F482" i="1"/>
  <c r="F481" i="1"/>
  <c r="F480" i="1"/>
  <c r="F479" i="1"/>
  <c r="F462" i="1"/>
  <c r="F461" i="1"/>
  <c r="F460" i="1"/>
  <c r="F459" i="1"/>
  <c r="F458" i="1"/>
  <c r="F452" i="1"/>
  <c r="F451" i="1"/>
  <c r="F450" i="1"/>
  <c r="F449" i="1"/>
  <c r="F448" i="1"/>
  <c r="F440" i="1"/>
  <c r="F433" i="1"/>
  <c r="F432" i="1"/>
  <c r="F431" i="1"/>
  <c r="F430" i="1"/>
  <c r="F429" i="1"/>
  <c r="F414" i="1"/>
  <c r="F413" i="1"/>
  <c r="F412" i="1"/>
  <c r="F411" i="1"/>
  <c r="F410" i="1"/>
  <c r="H381" i="1"/>
  <c r="F380" i="1"/>
  <c r="F379" i="1"/>
  <c r="F378" i="1"/>
  <c r="F377" i="1"/>
  <c r="F376" i="1"/>
  <c r="F370" i="1"/>
  <c r="F369" i="1"/>
  <c r="F368" i="1"/>
  <c r="F367" i="1"/>
  <c r="F366" i="1"/>
  <c r="F350" i="1"/>
  <c r="F349" i="1"/>
  <c r="F348" i="1"/>
  <c r="F347" i="1"/>
  <c r="F346" i="1"/>
  <c r="F340" i="1"/>
  <c r="F339" i="1"/>
  <c r="F338" i="1"/>
  <c r="F337" i="1"/>
  <c r="F336" i="1"/>
  <c r="F277" i="1"/>
  <c r="F278" i="1"/>
  <c r="F279" i="1"/>
  <c r="F280" i="1"/>
  <c r="I326" i="1"/>
  <c r="F325" i="1"/>
  <c r="F324" i="1"/>
  <c r="F323" i="1"/>
  <c r="F322" i="1"/>
  <c r="F321" i="1"/>
  <c r="F315" i="1"/>
  <c r="F314" i="1"/>
  <c r="F313" i="1"/>
  <c r="F312" i="1"/>
  <c r="F311" i="1"/>
  <c r="F300" i="1"/>
  <c r="F299" i="1"/>
  <c r="F298" i="1"/>
  <c r="F297" i="1"/>
  <c r="F296" i="1"/>
  <c r="F286" i="1"/>
  <c r="F250" i="1"/>
  <c r="F224" i="1"/>
  <c r="H223" i="1"/>
  <c r="O525" i="1" s="1"/>
  <c r="N525" i="1" s="1"/>
  <c r="F223" i="1" l="1"/>
  <c r="D3" i="2"/>
  <c r="D7" i="2" s="1"/>
  <c r="F604" i="1"/>
  <c r="F964" i="1"/>
  <c r="O753" i="1"/>
  <c r="F211" i="1"/>
  <c r="F210" i="1"/>
  <c r="F209" i="1"/>
  <c r="F208" i="1"/>
  <c r="F207" i="1"/>
  <c r="F172" i="1"/>
  <c r="F171" i="1"/>
  <c r="F170" i="1"/>
  <c r="F169" i="1"/>
  <c r="F168" i="1"/>
  <c r="F160" i="1"/>
  <c r="F159" i="1"/>
  <c r="F158" i="1"/>
  <c r="F157" i="1"/>
  <c r="F156" i="1"/>
  <c r="F100" i="1"/>
  <c r="F88" i="1"/>
  <c r="F87" i="1"/>
  <c r="F79" i="1"/>
  <c r="F78" i="1"/>
  <c r="F77" i="1"/>
  <c r="F76" i="1"/>
  <c r="F75" i="1"/>
  <c r="F69" i="1"/>
  <c r="F68" i="1"/>
  <c r="F67" i="1"/>
  <c r="F66" i="1"/>
  <c r="F65" i="1"/>
  <c r="F35" i="1"/>
  <c r="H333" i="1" l="1"/>
  <c r="I1032" i="1" l="1"/>
  <c r="I1020" i="1"/>
  <c r="H749" i="1"/>
  <c r="H717" i="1"/>
  <c r="H692" i="1"/>
  <c r="I546" i="1"/>
  <c r="I333" i="1"/>
  <c r="I341" i="1" s="1"/>
  <c r="I308" i="1"/>
  <c r="H308" i="1"/>
  <c r="I293" i="1"/>
  <c r="H235" i="1"/>
  <c r="I165" i="1"/>
  <c r="H72" i="1"/>
  <c r="I805" i="1" l="1"/>
  <c r="I1044" i="1" l="1"/>
  <c r="I998" i="1"/>
  <c r="I1006" i="1" s="1"/>
  <c r="I1014" i="1" s="1"/>
  <c r="I984" i="1"/>
  <c r="J972" i="1"/>
  <c r="I972" i="1"/>
  <c r="J960" i="1" l="1"/>
  <c r="J1060" i="1" s="1"/>
  <c r="I960" i="1"/>
  <c r="I948" i="1"/>
  <c r="I917" i="1"/>
  <c r="I925" i="1" s="1"/>
  <c r="I764" i="1" l="1"/>
  <c r="I749" i="1"/>
  <c r="H729" i="1"/>
  <c r="I670" i="1"/>
  <c r="I623" i="1"/>
  <c r="I573" i="1"/>
  <c r="I521" i="1"/>
  <c r="I476" i="1"/>
  <c r="I455" i="1"/>
  <c r="I463" i="1" s="1"/>
  <c r="H445" i="1"/>
  <c r="I426" i="1"/>
  <c r="H395" i="1"/>
  <c r="H363" i="1"/>
  <c r="H343" i="1"/>
  <c r="H293" i="1" l="1"/>
  <c r="H301" i="1" s="1"/>
  <c r="I261" i="1"/>
  <c r="H204" i="1"/>
  <c r="H153" i="1"/>
  <c r="I62" i="1"/>
  <c r="I43" i="1" l="1"/>
  <c r="I45" i="1" s="1"/>
  <c r="I266" i="1" l="1"/>
  <c r="H266" i="1"/>
  <c r="F265" i="1"/>
  <c r="F266" i="1" s="1"/>
  <c r="H262" i="1"/>
  <c r="I262" i="1"/>
  <c r="F261" i="1"/>
  <c r="F256" i="1"/>
  <c r="G41" i="1"/>
  <c r="F40" i="1"/>
  <c r="F206" i="1" l="1"/>
  <c r="F918" i="1"/>
  <c r="F917" i="1"/>
  <c r="F593" i="1"/>
  <c r="F99" i="1"/>
  <c r="F43" i="1"/>
  <c r="I520" i="1" l="1"/>
  <c r="I529" i="1" s="1"/>
  <c r="I1043" i="1" l="1"/>
  <c r="I1031" i="1"/>
  <c r="I1019" i="1"/>
  <c r="I1040" i="1" l="1"/>
  <c r="I1041" i="1"/>
  <c r="I1052" i="1"/>
  <c r="I1053" i="1"/>
  <c r="I1028" i="1"/>
  <c r="I1029" i="1"/>
  <c r="I853" i="1"/>
  <c r="I775" i="1"/>
  <c r="I784" i="1" s="1"/>
  <c r="I763" i="1"/>
  <c r="I772" i="1" s="1"/>
  <c r="I748" i="1"/>
  <c r="H748" i="1"/>
  <c r="H728" i="1"/>
  <c r="H716" i="1"/>
  <c r="H691" i="1"/>
  <c r="I572" i="1"/>
  <c r="I545" i="1"/>
  <c r="H444" i="1"/>
  <c r="H453" i="1" s="1"/>
  <c r="I425" i="1"/>
  <c r="H394" i="1"/>
  <c r="H362" i="1"/>
  <c r="H342" i="1"/>
  <c r="H351" i="1" s="1"/>
  <c r="H332" i="1"/>
  <c r="I307" i="1"/>
  <c r="I316" i="1" s="1"/>
  <c r="H307" i="1"/>
  <c r="H316" i="1" s="1"/>
  <c r="I302" i="1"/>
  <c r="I292" i="1"/>
  <c r="I283" i="1"/>
  <c r="I246" i="1"/>
  <c r="I234" i="1"/>
  <c r="H203" i="1"/>
  <c r="I164" i="1"/>
  <c r="H152" i="1"/>
  <c r="H71" i="1"/>
  <c r="H80" i="1" s="1"/>
  <c r="I61" i="1"/>
  <c r="H42" i="1"/>
  <c r="H45" i="1" s="1"/>
  <c r="H46" i="1"/>
  <c r="H47" i="1" s="1"/>
  <c r="I47" i="1"/>
  <c r="G47" i="1"/>
  <c r="H700" i="1" l="1"/>
  <c r="H701" i="1"/>
  <c r="F46" i="1"/>
  <c r="F47" i="1" s="1"/>
  <c r="H928" i="1"/>
  <c r="J971" i="1" l="1"/>
  <c r="J959" i="1"/>
  <c r="J947" i="1"/>
  <c r="J1059" i="1" s="1"/>
  <c r="J1055" i="1" l="1"/>
  <c r="H914" i="1"/>
  <c r="H848" i="1"/>
  <c r="H821" i="1"/>
  <c r="H799" i="1"/>
  <c r="H637" i="1"/>
  <c r="H495" i="1"/>
  <c r="I389" i="1"/>
  <c r="I258" i="1" l="1"/>
  <c r="H258" i="1"/>
  <c r="I255" i="1"/>
  <c r="I257" i="1" s="1"/>
  <c r="H255" i="1"/>
  <c r="H257" i="1" s="1"/>
  <c r="F276" i="1"/>
  <c r="F545" i="1" l="1"/>
  <c r="I264" i="1"/>
  <c r="H264" i="1"/>
  <c r="F263" i="1"/>
  <c r="F264" i="1" s="1"/>
  <c r="P748" i="1"/>
  <c r="S748" i="1" s="1"/>
  <c r="I928" i="1"/>
  <c r="F916" i="1"/>
  <c r="I499" i="1"/>
  <c r="F925" i="1" l="1"/>
  <c r="F928" i="1" s="1"/>
  <c r="O748" i="1"/>
  <c r="F260" i="1" l="1"/>
  <c r="F262" i="1" s="1"/>
  <c r="H1053" i="1" l="1"/>
  <c r="J1052" i="1"/>
  <c r="H1052" i="1"/>
  <c r="F1046" i="1"/>
  <c r="F1045" i="1"/>
  <c r="F1044" i="1"/>
  <c r="F1043" i="1"/>
  <c r="H1041" i="1"/>
  <c r="H1029" i="1"/>
  <c r="J1040" i="1"/>
  <c r="H1040" i="1"/>
  <c r="F1034" i="1"/>
  <c r="F1033" i="1"/>
  <c r="F1032" i="1"/>
  <c r="F1031" i="1"/>
  <c r="H1028" i="1"/>
  <c r="F1022" i="1"/>
  <c r="F1021" i="1"/>
  <c r="J1028" i="1"/>
  <c r="F1019" i="1"/>
  <c r="F692" i="1"/>
  <c r="F694" i="1"/>
  <c r="I693" i="1"/>
  <c r="I700" i="1" s="1"/>
  <c r="H463" i="1"/>
  <c r="F457" i="1"/>
  <c r="F456" i="1"/>
  <c r="F455" i="1"/>
  <c r="F454" i="1"/>
  <c r="F320" i="1"/>
  <c r="F319" i="1"/>
  <c r="F318" i="1"/>
  <c r="F317" i="1"/>
  <c r="F523" i="1"/>
  <c r="F522" i="1"/>
  <c r="F521" i="1"/>
  <c r="F520" i="1"/>
  <c r="F1041" i="1" l="1"/>
  <c r="F1040" i="1"/>
  <c r="F1052" i="1"/>
  <c r="F1053" i="1"/>
  <c r="F529" i="1"/>
  <c r="F326" i="1"/>
  <c r="H1055" i="1"/>
  <c r="I1055" i="1"/>
  <c r="F1020" i="1"/>
  <c r="F1028" i="1" s="1"/>
  <c r="F691" i="1"/>
  <c r="I701" i="1"/>
  <c r="F693" i="1"/>
  <c r="F1029" i="1" l="1"/>
  <c r="F1055" i="1" s="1"/>
  <c r="F701" i="1"/>
  <c r="F700" i="1"/>
  <c r="I599" i="1"/>
  <c r="F599" i="1" s="1"/>
  <c r="F598" i="1"/>
  <c r="F488" i="1"/>
  <c r="F487" i="1"/>
  <c r="F486" i="1"/>
  <c r="F485" i="1"/>
  <c r="I453" i="1"/>
  <c r="F447" i="1"/>
  <c r="F446" i="1"/>
  <c r="F445" i="1"/>
  <c r="F444" i="1"/>
  <c r="F375" i="1"/>
  <c r="F374" i="1"/>
  <c r="F372" i="1"/>
  <c r="F345" i="1"/>
  <c r="F344" i="1"/>
  <c r="F342" i="1"/>
  <c r="F309" i="1"/>
  <c r="F308" i="1"/>
  <c r="F307" i="1"/>
  <c r="F305" i="1"/>
  <c r="F304" i="1"/>
  <c r="F303" i="1"/>
  <c r="I306" i="1"/>
  <c r="F74" i="1"/>
  <c r="F73" i="1"/>
  <c r="F72" i="1"/>
  <c r="F71" i="1"/>
  <c r="G45" i="1"/>
  <c r="F316" i="1" l="1"/>
  <c r="F494" i="1"/>
  <c r="F80" i="1"/>
  <c r="F373" i="1"/>
  <c r="F381" i="1" s="1"/>
  <c r="F343" i="1"/>
  <c r="F351" i="1" s="1"/>
  <c r="F302" i="1"/>
  <c r="F306" i="1" s="1"/>
  <c r="F42" i="1"/>
  <c r="F45" i="1" s="1"/>
  <c r="I259" i="1"/>
  <c r="H259" i="1"/>
  <c r="F258" i="1"/>
  <c r="F259" i="1" s="1"/>
  <c r="J946" i="1" l="1"/>
  <c r="I946" i="1"/>
  <c r="I956" i="1" s="1"/>
  <c r="J956" i="1" l="1"/>
  <c r="I803" i="1"/>
  <c r="I813" i="1" s="1"/>
  <c r="H747" i="1"/>
  <c r="I621" i="1"/>
  <c r="I660" i="1"/>
  <c r="I630" i="1"/>
  <c r="I609" i="1"/>
  <c r="I619" i="1" s="1"/>
  <c r="I544" i="1"/>
  <c r="I498" i="1"/>
  <c r="I474" i="1"/>
  <c r="I484" i="1" s="1"/>
  <c r="I245" i="1"/>
  <c r="I163" i="1"/>
  <c r="I60" i="1"/>
  <c r="I291" i="1" l="1"/>
  <c r="F436" i="1" l="1"/>
  <c r="F437" i="1"/>
  <c r="F438" i="1"/>
  <c r="F439" i="1"/>
  <c r="H680" i="1" l="1"/>
  <c r="F574" i="1"/>
  <c r="F547" i="1"/>
  <c r="F408" i="1"/>
  <c r="H275" i="1"/>
  <c r="H281" i="1" s="1"/>
  <c r="H247" i="1"/>
  <c r="H253" i="1" s="1"/>
  <c r="I247" i="1"/>
  <c r="H221" i="1"/>
  <c r="I118" i="1"/>
  <c r="I117" i="1"/>
  <c r="I110" i="1"/>
  <c r="H85" i="1"/>
  <c r="I85" i="1"/>
  <c r="I32" i="1"/>
  <c r="I37" i="1" s="1"/>
  <c r="H32" i="1"/>
  <c r="H37" i="1" s="1"/>
  <c r="I38" i="1"/>
  <c r="I41" i="1" s="1"/>
  <c r="H38" i="1"/>
  <c r="H41" i="1" s="1"/>
  <c r="F592" i="1"/>
  <c r="F285" i="1"/>
  <c r="F205" i="1"/>
  <c r="F98" i="1"/>
  <c r="H507" i="1"/>
  <c r="H517" i="1" s="1"/>
  <c r="F591" i="1"/>
  <c r="F284" i="1"/>
  <c r="F204" i="1"/>
  <c r="F203" i="1"/>
  <c r="I747" i="1"/>
  <c r="I757" i="1" s="1"/>
  <c r="F97" i="1"/>
  <c r="H715" i="1"/>
  <c r="H727" i="1"/>
  <c r="F590" i="1"/>
  <c r="H393" i="1"/>
  <c r="H331" i="1"/>
  <c r="F283" i="1"/>
  <c r="H151" i="1"/>
  <c r="F96" i="1"/>
  <c r="I1059" i="1" l="1"/>
  <c r="I94" i="1"/>
  <c r="F85" i="1"/>
  <c r="H94" i="1"/>
  <c r="H1061" i="1"/>
  <c r="F1061" i="1" s="1"/>
  <c r="M1061" i="1" s="1"/>
  <c r="N1061" i="1" s="1"/>
  <c r="R1058" i="1" s="1"/>
  <c r="H228" i="1"/>
  <c r="I1061" i="1"/>
  <c r="B3" i="2"/>
  <c r="B7" i="2" s="1"/>
  <c r="I1060" i="1"/>
  <c r="H1059" i="1"/>
  <c r="H1060" i="1"/>
  <c r="I739" i="1"/>
  <c r="I275" i="1"/>
  <c r="I281" i="1" s="1"/>
  <c r="I668" i="1"/>
  <c r="I641" i="1"/>
  <c r="I651" i="1" s="1"/>
  <c r="I424" i="1" l="1"/>
  <c r="I434" i="1" s="1"/>
  <c r="F435" i="1"/>
  <c r="F443" i="1" s="1"/>
  <c r="I282" i="1" l="1"/>
  <c r="I288" i="1" s="1"/>
  <c r="I230" i="1"/>
  <c r="I95" i="1" l="1"/>
  <c r="I103" i="1" s="1"/>
  <c r="J970" i="1" l="1"/>
  <c r="J980" i="1" s="1"/>
  <c r="J958" i="1"/>
  <c r="H361" i="1"/>
  <c r="H202" i="1"/>
  <c r="H212" i="1" s="1"/>
  <c r="H150" i="1"/>
  <c r="H161" i="1" s="1"/>
  <c r="F39" i="1"/>
  <c r="F38" i="1"/>
  <c r="J968" i="1" l="1"/>
  <c r="J1058" i="1"/>
  <c r="F41" i="1"/>
  <c r="F254" i="1"/>
  <c r="F255" i="1"/>
  <c r="F257" i="1" l="1"/>
  <c r="I982" i="1"/>
  <c r="I992" i="1" s="1"/>
  <c r="I970" i="1"/>
  <c r="I958" i="1"/>
  <c r="I968" i="1" l="1"/>
  <c r="I1058" i="1"/>
  <c r="H405" i="1"/>
  <c r="H1058" i="1" s="1"/>
  <c r="F246" i="1"/>
  <c r="J1057" i="1" l="1"/>
  <c r="F235" i="1" l="1"/>
  <c r="F497" i="1" l="1"/>
  <c r="F498" i="1"/>
  <c r="F499" i="1"/>
  <c r="F500" i="1"/>
  <c r="F501" i="1"/>
  <c r="F502" i="1"/>
  <c r="I503" i="1"/>
  <c r="I504" i="1" s="1"/>
  <c r="H503" i="1"/>
  <c r="I543" i="1"/>
  <c r="I554" i="1" s="1"/>
  <c r="I570" i="1"/>
  <c r="I581" i="1" s="1"/>
  <c r="I588" i="1"/>
  <c r="I422" i="1"/>
  <c r="I471" i="1" s="1"/>
  <c r="F974" i="1"/>
  <c r="I16" i="1"/>
  <c r="I17" i="1" s="1"/>
  <c r="I59" i="1"/>
  <c r="I162" i="1"/>
  <c r="I229" i="1"/>
  <c r="I231" i="1" s="1"/>
  <c r="I244" i="1"/>
  <c r="I253" i="1" s="1"/>
  <c r="I290" i="1"/>
  <c r="I677" i="1"/>
  <c r="I969" i="1"/>
  <c r="I980" i="1" s="1"/>
  <c r="I658" i="1"/>
  <c r="I666" i="1"/>
  <c r="I674" i="1"/>
  <c r="I636" i="1"/>
  <c r="I627" i="1"/>
  <c r="F1060" i="1"/>
  <c r="F1059" i="1"/>
  <c r="H746" i="1"/>
  <c r="H757" i="1" s="1"/>
  <c r="H726" i="1"/>
  <c r="H737" i="1" s="1"/>
  <c r="H714" i="1"/>
  <c r="H725" i="1" s="1"/>
  <c r="H677" i="1"/>
  <c r="H404" i="1"/>
  <c r="H392" i="1"/>
  <c r="H403" i="1" s="1"/>
  <c r="H360" i="1"/>
  <c r="H371" i="1" s="1"/>
  <c r="H330" i="1"/>
  <c r="H341" i="1" s="1"/>
  <c r="H232" i="1"/>
  <c r="H236" i="1" s="1"/>
  <c r="H229" i="1"/>
  <c r="H231" i="1" s="1"/>
  <c r="H18" i="1"/>
  <c r="H19" i="1" s="1"/>
  <c r="H16" i="1"/>
  <c r="H17" i="1" s="1"/>
  <c r="F233" i="1"/>
  <c r="F234" i="1"/>
  <c r="F416" i="1"/>
  <c r="F417" i="1"/>
  <c r="F418" i="1"/>
  <c r="F419" i="1"/>
  <c r="F420" i="1"/>
  <c r="F421" i="1"/>
  <c r="F405" i="1"/>
  <c r="F406" i="1"/>
  <c r="F407" i="1"/>
  <c r="F409" i="1"/>
  <c r="F423" i="1"/>
  <c r="F424" i="1"/>
  <c r="F425" i="1"/>
  <c r="F426" i="1"/>
  <c r="F427" i="1"/>
  <c r="F428" i="1"/>
  <c r="H422" i="1"/>
  <c r="H434" i="1"/>
  <c r="F625" i="1"/>
  <c r="F624" i="1"/>
  <c r="F623" i="1"/>
  <c r="F622" i="1"/>
  <c r="F621" i="1"/>
  <c r="F620" i="1"/>
  <c r="G605" i="1"/>
  <c r="H554" i="1"/>
  <c r="H588" i="1"/>
  <c r="J562" i="1"/>
  <c r="J569" i="1"/>
  <c r="F589" i="1"/>
  <c r="F282" i="1"/>
  <c r="F288" i="1" s="1"/>
  <c r="F151" i="1"/>
  <c r="F152" i="1"/>
  <c r="F153" i="1"/>
  <c r="F154" i="1"/>
  <c r="F155" i="1"/>
  <c r="F163" i="1"/>
  <c r="F164" i="1"/>
  <c r="F165" i="1"/>
  <c r="F166" i="1"/>
  <c r="F167" i="1"/>
  <c r="F202" i="1"/>
  <c r="F212" i="1" s="1"/>
  <c r="H104" i="1"/>
  <c r="H56" i="1"/>
  <c r="H81" i="1" s="1"/>
  <c r="F507" i="1"/>
  <c r="F95" i="1"/>
  <c r="H103" i="1"/>
  <c r="F103" i="1" s="1"/>
  <c r="J992" i="1"/>
  <c r="H1014" i="1"/>
  <c r="H992" i="1"/>
  <c r="H980" i="1"/>
  <c r="H968" i="1"/>
  <c r="H956" i="1"/>
  <c r="F995" i="1"/>
  <c r="F996" i="1"/>
  <c r="F997" i="1"/>
  <c r="F998" i="1"/>
  <c r="F999" i="1"/>
  <c r="F1000" i="1"/>
  <c r="F981" i="1"/>
  <c r="F982" i="1"/>
  <c r="F983" i="1"/>
  <c r="F984" i="1"/>
  <c r="F985" i="1"/>
  <c r="F986" i="1"/>
  <c r="F970" i="1"/>
  <c r="F971" i="1"/>
  <c r="F972" i="1"/>
  <c r="F973" i="1"/>
  <c r="F957" i="1"/>
  <c r="F958" i="1"/>
  <c r="F959" i="1"/>
  <c r="F960" i="1"/>
  <c r="F961" i="1"/>
  <c r="F962" i="1"/>
  <c r="F945" i="1"/>
  <c r="F946" i="1"/>
  <c r="F947" i="1"/>
  <c r="F948" i="1"/>
  <c r="F949" i="1"/>
  <c r="F950" i="1"/>
  <c r="I906" i="1"/>
  <c r="I899" i="1"/>
  <c r="I868" i="1"/>
  <c r="I821" i="1"/>
  <c r="F900" i="1"/>
  <c r="F901" i="1"/>
  <c r="F902" i="1"/>
  <c r="F903" i="1"/>
  <c r="F904" i="1"/>
  <c r="F905" i="1"/>
  <c r="F893" i="1"/>
  <c r="F894" i="1"/>
  <c r="F895" i="1"/>
  <c r="F896" i="1"/>
  <c r="F897" i="1"/>
  <c r="F898" i="1"/>
  <c r="F881" i="1"/>
  <c r="F882" i="1"/>
  <c r="F883" i="1"/>
  <c r="F884" i="1"/>
  <c r="F885" i="1"/>
  <c r="F886" i="1"/>
  <c r="F869" i="1"/>
  <c r="F870" i="1"/>
  <c r="F871" i="1"/>
  <c r="F872" i="1"/>
  <c r="F873" i="1"/>
  <c r="F874" i="1"/>
  <c r="F861" i="1"/>
  <c r="F862" i="1"/>
  <c r="F863" i="1"/>
  <c r="F864" i="1"/>
  <c r="F865" i="1"/>
  <c r="F866" i="1"/>
  <c r="F851" i="1"/>
  <c r="F852" i="1"/>
  <c r="F853" i="1"/>
  <c r="F854" i="1"/>
  <c r="F855" i="1"/>
  <c r="F856" i="1"/>
  <c r="F836" i="1"/>
  <c r="F837" i="1"/>
  <c r="F838" i="1"/>
  <c r="F839" i="1"/>
  <c r="F840" i="1"/>
  <c r="F841" i="1"/>
  <c r="F824" i="1"/>
  <c r="F825" i="1"/>
  <c r="F826" i="1"/>
  <c r="F827" i="1"/>
  <c r="F828" i="1"/>
  <c r="F829" i="1"/>
  <c r="F802" i="1"/>
  <c r="F803" i="1"/>
  <c r="F804" i="1"/>
  <c r="F805" i="1"/>
  <c r="F806" i="1"/>
  <c r="F807" i="1"/>
  <c r="F761" i="1"/>
  <c r="F762" i="1"/>
  <c r="F763" i="1"/>
  <c r="F764" i="1"/>
  <c r="F765" i="1"/>
  <c r="F766" i="1"/>
  <c r="F773" i="1"/>
  <c r="F774" i="1"/>
  <c r="F775" i="1"/>
  <c r="F776" i="1"/>
  <c r="F777" i="1"/>
  <c r="F778" i="1"/>
  <c r="G758" i="1"/>
  <c r="F715" i="1"/>
  <c r="F716" i="1"/>
  <c r="F717" i="1"/>
  <c r="F718" i="1"/>
  <c r="F719" i="1"/>
  <c r="F727" i="1"/>
  <c r="F728" i="1"/>
  <c r="F729" i="1"/>
  <c r="F730" i="1"/>
  <c r="F731" i="1"/>
  <c r="F738" i="1"/>
  <c r="F739" i="1"/>
  <c r="F740" i="1"/>
  <c r="F741" i="1"/>
  <c r="F742" i="1"/>
  <c r="F743" i="1"/>
  <c r="F747" i="1"/>
  <c r="F748" i="1"/>
  <c r="F749" i="1"/>
  <c r="F750" i="1"/>
  <c r="F751" i="1"/>
  <c r="H675" i="1"/>
  <c r="F678" i="1"/>
  <c r="F679" i="1"/>
  <c r="F680" i="1"/>
  <c r="F681" i="1"/>
  <c r="F682" i="1"/>
  <c r="F640" i="1"/>
  <c r="F641" i="1"/>
  <c r="F642" i="1"/>
  <c r="F643" i="1"/>
  <c r="F644" i="1"/>
  <c r="F645" i="1"/>
  <c r="F652" i="1"/>
  <c r="F653" i="1"/>
  <c r="F654" i="1"/>
  <c r="F655" i="1"/>
  <c r="F656" i="1"/>
  <c r="F657" i="1"/>
  <c r="F659" i="1"/>
  <c r="F660" i="1"/>
  <c r="F661" i="1"/>
  <c r="F662" i="1"/>
  <c r="F663" i="1"/>
  <c r="F664" i="1"/>
  <c r="F667" i="1"/>
  <c r="F668" i="1"/>
  <c r="F669" i="1"/>
  <c r="F670" i="1"/>
  <c r="F671" i="1"/>
  <c r="F672" i="1"/>
  <c r="F608" i="1"/>
  <c r="F609" i="1"/>
  <c r="F610" i="1"/>
  <c r="F611" i="1"/>
  <c r="F612" i="1"/>
  <c r="F613" i="1"/>
  <c r="F629" i="1"/>
  <c r="F630" i="1"/>
  <c r="F631" i="1"/>
  <c r="F632" i="1"/>
  <c r="F633" i="1"/>
  <c r="F634" i="1"/>
  <c r="F582" i="1"/>
  <c r="F588" i="1" s="1"/>
  <c r="F571" i="1"/>
  <c r="F572" i="1"/>
  <c r="F573" i="1"/>
  <c r="F575" i="1"/>
  <c r="F566" i="1"/>
  <c r="F567" i="1"/>
  <c r="F568" i="1"/>
  <c r="F559" i="1"/>
  <c r="F560" i="1"/>
  <c r="F561" i="1"/>
  <c r="F544" i="1"/>
  <c r="F546" i="1"/>
  <c r="F548" i="1"/>
  <c r="I495" i="1"/>
  <c r="H518" i="1"/>
  <c r="F506" i="1"/>
  <c r="F508" i="1"/>
  <c r="F509" i="1"/>
  <c r="F510" i="1"/>
  <c r="F511" i="1"/>
  <c r="F473" i="1"/>
  <c r="F474" i="1"/>
  <c r="F475" i="1"/>
  <c r="F476" i="1"/>
  <c r="F477" i="1"/>
  <c r="F478" i="1"/>
  <c r="F331" i="1"/>
  <c r="F332" i="1"/>
  <c r="F333" i="1"/>
  <c r="F334" i="1"/>
  <c r="F335" i="1"/>
  <c r="F361" i="1"/>
  <c r="F362" i="1"/>
  <c r="F363" i="1"/>
  <c r="F364" i="1"/>
  <c r="F365" i="1"/>
  <c r="F291" i="1"/>
  <c r="F292" i="1"/>
  <c r="F293" i="1"/>
  <c r="F294" i="1"/>
  <c r="F295" i="1"/>
  <c r="F274" i="1"/>
  <c r="F275" i="1"/>
  <c r="F245" i="1"/>
  <c r="F247" i="1"/>
  <c r="F248" i="1"/>
  <c r="F230" i="1"/>
  <c r="F221" i="1"/>
  <c r="F228" i="1" s="1"/>
  <c r="F222" i="1"/>
  <c r="I232" i="1"/>
  <c r="I236" i="1" s="1"/>
  <c r="G228" i="1"/>
  <c r="G531" i="1" s="1"/>
  <c r="I120" i="1"/>
  <c r="I112" i="1"/>
  <c r="F112" i="1" s="1"/>
  <c r="I56" i="1"/>
  <c r="I58" i="1"/>
  <c r="I19" i="1"/>
  <c r="F114" i="1"/>
  <c r="F115" i="1"/>
  <c r="F116" i="1"/>
  <c r="F117" i="1"/>
  <c r="F118" i="1"/>
  <c r="F119" i="1"/>
  <c r="F111" i="1"/>
  <c r="F109" i="1"/>
  <c r="F108" i="1"/>
  <c r="F107" i="1"/>
  <c r="F106" i="1"/>
  <c r="F83" i="1"/>
  <c r="F94" i="1" s="1"/>
  <c r="F50" i="1"/>
  <c r="F56" i="1" s="1"/>
  <c r="F57" i="1"/>
  <c r="F58" i="1" s="1"/>
  <c r="F60" i="1"/>
  <c r="F61" i="1"/>
  <c r="F62" i="1"/>
  <c r="F63" i="1"/>
  <c r="F64" i="1"/>
  <c r="G37" i="1"/>
  <c r="G48" i="1" s="1"/>
  <c r="F29" i="1"/>
  <c r="F30" i="1"/>
  <c r="F31" i="1"/>
  <c r="F32" i="1"/>
  <c r="F33" i="1"/>
  <c r="F34" i="1"/>
  <c r="I48" i="1"/>
  <c r="H48" i="1"/>
  <c r="J20" i="1"/>
  <c r="G17" i="1"/>
  <c r="G19" i="1"/>
  <c r="F860" i="1" l="1"/>
  <c r="G1068" i="1"/>
  <c r="H389" i="1"/>
  <c r="F37" i="1"/>
  <c r="F48" i="1" s="1"/>
  <c r="J1063" i="1"/>
  <c r="J1068" i="1" s="1"/>
  <c r="H605" i="1"/>
  <c r="F847" i="1"/>
  <c r="F956" i="1"/>
  <c r="H504" i="1"/>
  <c r="F813" i="1"/>
  <c r="F821" i="1" s="1"/>
  <c r="F892" i="1"/>
  <c r="F992" i="1"/>
  <c r="F784" i="1"/>
  <c r="F968" i="1"/>
  <c r="F1006" i="1"/>
  <c r="H688" i="1"/>
  <c r="H689" i="1"/>
  <c r="F772" i="1"/>
  <c r="F835" i="1"/>
  <c r="F880" i="1"/>
  <c r="I688" i="1"/>
  <c r="I689" i="1"/>
  <c r="F619" i="1"/>
  <c r="F651" i="1"/>
  <c r="I605" i="1"/>
  <c r="I711" i="1" s="1"/>
  <c r="F244" i="1"/>
  <c r="F290" i="1"/>
  <c r="F301" i="1" s="1"/>
  <c r="I301" i="1"/>
  <c r="F281" i="1"/>
  <c r="F404" i="1"/>
  <c r="F415" i="1" s="1"/>
  <c r="H415" i="1"/>
  <c r="H471" i="1" s="1"/>
  <c r="F517" i="1"/>
  <c r="F518" i="1" s="1"/>
  <c r="F484" i="1"/>
  <c r="F495" i="1" s="1"/>
  <c r="F434" i="1"/>
  <c r="F59" i="1"/>
  <c r="F70" i="1" s="1"/>
  <c r="F81" i="1" s="1"/>
  <c r="I70" i="1"/>
  <c r="I81" i="1" s="1"/>
  <c r="F162" i="1"/>
  <c r="F173" i="1" s="1"/>
  <c r="I173" i="1"/>
  <c r="I213" i="1" s="1"/>
  <c r="I799" i="1"/>
  <c r="I914" i="1"/>
  <c r="I758" i="1"/>
  <c r="H213" i="1"/>
  <c r="H758" i="1"/>
  <c r="H942" i="1" s="1"/>
  <c r="I637" i="1"/>
  <c r="I675" i="1"/>
  <c r="F16" i="1"/>
  <c r="F17" i="1" s="1"/>
  <c r="F249" i="1"/>
  <c r="F746" i="1"/>
  <c r="F757" i="1" s="1"/>
  <c r="F330" i="1"/>
  <c r="F341" i="1" s="1"/>
  <c r="F18" i="1"/>
  <c r="F19" i="1" s="1"/>
  <c r="F581" i="1"/>
  <c r="F714" i="1"/>
  <c r="F725" i="1" s="1"/>
  <c r="F543" i="1"/>
  <c r="F554" i="1" s="1"/>
  <c r="F899" i="1"/>
  <c r="F569" i="1"/>
  <c r="I848" i="1"/>
  <c r="F848" i="1" s="1"/>
  <c r="J605" i="1"/>
  <c r="J711" i="1" s="1"/>
  <c r="F969" i="1"/>
  <c r="F980" i="1" s="1"/>
  <c r="F422" i="1"/>
  <c r="H1057" i="1"/>
  <c r="I1057" i="1"/>
  <c r="I1068" i="1" s="1"/>
  <c r="I20" i="1"/>
  <c r="F562" i="1"/>
  <c r="H20" i="1"/>
  <c r="H121" i="1" s="1"/>
  <c r="F677" i="1"/>
  <c r="F868" i="1"/>
  <c r="F360" i="1"/>
  <c r="F371" i="1" s="1"/>
  <c r="F666" i="1"/>
  <c r="H993" i="1"/>
  <c r="H1016" i="1" s="1"/>
  <c r="I104" i="1"/>
  <c r="F104" i="1" s="1"/>
  <c r="F229" i="1"/>
  <c r="F231" i="1" s="1"/>
  <c r="G20" i="1"/>
  <c r="F636" i="1"/>
  <c r="F150" i="1"/>
  <c r="F161" i="1" s="1"/>
  <c r="F674" i="1"/>
  <c r="F658" i="1"/>
  <c r="F726" i="1"/>
  <c r="F737" i="1" s="1"/>
  <c r="F906" i="1"/>
  <c r="J993" i="1"/>
  <c r="J1016" i="1" s="1"/>
  <c r="F627" i="1"/>
  <c r="F503" i="1"/>
  <c r="F504" i="1" s="1"/>
  <c r="I993" i="1"/>
  <c r="I1016" i="1" s="1"/>
  <c r="F1058" i="1"/>
  <c r="F120" i="1"/>
  <c r="F403" i="1"/>
  <c r="F232" i="1"/>
  <c r="F236" i="1" s="1"/>
  <c r="F471" i="1" l="1"/>
  <c r="F389" i="1"/>
  <c r="F253" i="1"/>
  <c r="F914" i="1"/>
  <c r="I942" i="1"/>
  <c r="F942" i="1" s="1"/>
  <c r="H1068" i="1"/>
  <c r="F758" i="1"/>
  <c r="F689" i="1"/>
  <c r="F688" i="1"/>
  <c r="I531" i="1"/>
  <c r="H531" i="1"/>
  <c r="I121" i="1"/>
  <c r="F121" i="1" s="1"/>
  <c r="F20" i="1"/>
  <c r="F637" i="1"/>
  <c r="H214" i="1"/>
  <c r="F675" i="1"/>
  <c r="F213" i="1"/>
  <c r="F605" i="1"/>
  <c r="F993" i="1"/>
  <c r="F1016" i="1" s="1"/>
  <c r="F799" i="1"/>
  <c r="F1057" i="1"/>
  <c r="F1068" i="1" l="1"/>
  <c r="F711" i="1"/>
  <c r="I214" i="1"/>
  <c r="F214" i="1" s="1"/>
  <c r="F531" i="1"/>
</calcChain>
</file>

<file path=xl/sharedStrings.xml><?xml version="1.0" encoding="utf-8"?>
<sst xmlns="http://schemas.openxmlformats.org/spreadsheetml/2006/main" count="985" uniqueCount="474">
  <si>
    <t>Освещение в СМИ передового педагогического опыта работы,публикации материалов о лучших педагогах, педагогических династиях</t>
  </si>
  <si>
    <t>Обеспечение условий для трудоустройства молодежи через организацию трудовых бригад, лагерей труда и отдыха для подростков</t>
  </si>
  <si>
    <t>№</t>
  </si>
  <si>
    <t>Наименование мероприятия</t>
  </si>
  <si>
    <t>Сроки реализации</t>
  </si>
  <si>
    <t>Ответственный исполнитель</t>
  </si>
  <si>
    <t>Годы</t>
  </si>
  <si>
    <t>Предполагаемый объем финансирования</t>
  </si>
  <si>
    <t>Ожидаемый эффект от реализации</t>
  </si>
  <si>
    <t>Всего</t>
  </si>
  <si>
    <t>Федеральный бюджет</t>
  </si>
  <si>
    <t>Областной бюджет</t>
  </si>
  <si>
    <t>Местный бюджет</t>
  </si>
  <si>
    <t>Приносящая доход деятельность</t>
  </si>
  <si>
    <t xml:space="preserve">Подпрограмма № 1«Повышение качества и доступности дошкольного образования» </t>
  </si>
  <si>
    <t>МЕРОПРИЯТИЕ 1. Обеспечение государственных гарантий доступности дошкольного образования</t>
  </si>
  <si>
    <t>1.1.1.</t>
  </si>
  <si>
    <t>Детский сад на 70 мест в с.Правда Холмского района Сахалинской области</t>
  </si>
  <si>
    <t>ВСЕГО</t>
  </si>
  <si>
    <t>1.1.2.</t>
  </si>
  <si>
    <t>ИТОГО по п. 1.1.</t>
  </si>
  <si>
    <t>ИТОГО по п. 1.2.</t>
  </si>
  <si>
    <t>1.3. Обеспечение функционирования дошкольных образовательных организаций</t>
  </si>
  <si>
    <t>Оснащение дополнительно созданных мест в открываемых новых дошкольных образовательных учреждениях (ДОУ) и новых дошкольных групп в действующих ДОУ</t>
  </si>
  <si>
    <t xml:space="preserve">Укрепление материально – технической базы образовательных организаций. </t>
  </si>
  <si>
    <t>Обеспечение функционирования дошкольных образовательных учреждений, в том числе с учетом современных требований энергоэффективности</t>
  </si>
  <si>
    <t>ИТОГО по п. 1.3.</t>
  </si>
  <si>
    <t>1.4. Обеспечение безопасности дошкольных образовательных организаций</t>
  </si>
  <si>
    <t>ИТОГО по п. 1.4</t>
  </si>
  <si>
    <t>1.5. Улучшение материально – технических условий организации образовательного процесса в дошкольных образовательных организациях</t>
  </si>
  <si>
    <t>Установка теневых навесов и малых форм в дошкольных образовательных организациях</t>
  </si>
  <si>
    <t>1.6. Формирование доступной среды</t>
  </si>
  <si>
    <t>Приобретение оборудования для организации обучения детей – инвалидов в дошкольных образовательных организациях</t>
  </si>
  <si>
    <t>Поддержка субъектов малого предпринимательства в сфере дошкольного образования</t>
  </si>
  <si>
    <t xml:space="preserve">Оказание поддержки субъектам малого предпринимательства по оказанию услуг дошкольного образования; повышение качества охвата детей дошкольного возраста разными формами дошкольного образования, в том числе в сельской местности. </t>
  </si>
  <si>
    <t>Финансирование за счет областного бюджета</t>
  </si>
  <si>
    <t>МЕРОПРИЯТИЕ 3. Обеспечение высокого качества услуг дошкольного образования</t>
  </si>
  <si>
    <t xml:space="preserve">3.1.Реализация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 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</si>
  <si>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</t>
  </si>
  <si>
    <t>Будет обеспечен охват детей услугами дошкольного образования в возрасте от 2  месяцев до 7 лет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</si>
  <si>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в группах кратковременного пребывания</t>
  </si>
  <si>
    <t>Предоставление услуги заявителем, согласно поданным заявлениям</t>
  </si>
  <si>
    <t>3.2. Обновление технологий и содержания дошкольного образования за 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организацию, лучшего педагогического работника</t>
  </si>
  <si>
    <t>3.2.1.</t>
  </si>
  <si>
    <t>ФОТ  педагогических работников дошкольных образовательных организаций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</si>
  <si>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 в регионе повысится качество кадрового состава дошкольного образования.</t>
  </si>
  <si>
    <t>3.2.1.2.</t>
  </si>
  <si>
    <t>ФОТ  обслуживающего персонала дошкольных образовательных организаций</t>
  </si>
  <si>
    <t>3.2.2.</t>
  </si>
  <si>
    <r>
      <t>Обновление технологий и содержания дошкольного образования за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организацию.</t>
    </r>
  </si>
  <si>
    <t>На конкурсной основе поддержку на внедрение инновационных образовательных технологий и практик получат победители конкурса. Будет обеспечено оснащение вновь созданных учрежденийсовременным оборудованием.</t>
  </si>
  <si>
    <t>Изменение подходов к содержанию, средствам и методам организации воспитательно - образовательного процесса в дошкольных образовательных организациях</t>
  </si>
  <si>
    <t>Методическая поддержка иноваций и инициатив педагогов и организаций</t>
  </si>
  <si>
    <t>Без дополнительного финансирования</t>
  </si>
  <si>
    <t>Повышение статуса педагогических работников дошкольных образовательных организаций, обобщение и распространение  их опыта работы, материальное стимулирование.</t>
  </si>
  <si>
    <t>Выявление и поддержка лидеров дошкольного образования</t>
  </si>
  <si>
    <t>Финансирование за счет общих расходов</t>
  </si>
  <si>
    <t>Строительство спортивного зала Лицея "Надежда"</t>
  </si>
  <si>
    <t>2015 -2016</t>
  </si>
  <si>
    <t>1.1.3.</t>
  </si>
  <si>
    <t>1.2.1.</t>
  </si>
  <si>
    <t>2015 -2020</t>
  </si>
  <si>
    <t>Мероприятие 2. «Повышение качества общего образования»</t>
  </si>
  <si>
    <t>2.1. Реализация государственной услуги по предоставлению начального общего, основного общего, среднего  общего образования по основным общеобразовательным программам</t>
  </si>
  <si>
    <t>2.1.1.</t>
  </si>
  <si>
    <r>
      <t>2.2.</t>
    </r>
    <r>
      <rPr>
        <b/>
        <sz val="11"/>
        <color indexed="8"/>
        <rFont val="Times New Roman"/>
        <family val="1"/>
        <charset val="204"/>
      </rPr>
      <t>Реализация требований федеральных государственных образовательных стандартов</t>
    </r>
  </si>
  <si>
    <t>3.1 .Софинансирование расходных обязательств муниципальных образований по созданию условий для осуществления присмотра и ухода за детьми в общеобразовательных организациях, имеющих интернат, а также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(включая расходы по обеспечению содержания зданий и сооружений), которые по состоянию на 31 декабря 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 (далее – на создание условий для осуществления присмотра и ухода за детьми и на организацию предоставления образования в общеобразовательных организациях, которые имеют интернат, и (или)  по состоянию на 31.12.2001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</t>
  </si>
  <si>
    <t>3.1.2.</t>
  </si>
  <si>
    <t>2015 - 2020</t>
  </si>
  <si>
    <t>Разработка нормативных документов по вопросам воспитания, дополнительного образования и профилактической работе</t>
  </si>
  <si>
    <t>2.1. Реализация муниципальной  услуги по предоставлению дополнительного образования по дополнительным  общеобразовательным программам</t>
  </si>
  <si>
    <r>
      <t>2.2.</t>
    </r>
    <r>
      <rPr>
        <b/>
        <sz val="11"/>
        <color indexed="8"/>
        <rFont val="Times New Roman"/>
        <family val="1"/>
        <charset val="204"/>
      </rPr>
      <t xml:space="preserve">Укрепление материально-технической базы организаций дополнительного образования детей </t>
    </r>
  </si>
  <si>
    <t>2.2.2.</t>
  </si>
  <si>
    <t>Мероприятие 3 «Повышение кадрового потенциала образовательных организаций по вопросам дополнительного образования, воспитания, профилактической работы с детьми и социального неблагополучия в семьях»</t>
  </si>
  <si>
    <t>3.1.  Организация мероприятий, способствующих постоянному повышению уровня квалификации педагогов</t>
  </si>
  <si>
    <t>3.2.  Организация муниципальной системы обмена, распространения и внедреия положительного педагогического опыта</t>
  </si>
  <si>
    <t>4.1. Внедрение в школах муниципального образования программ профессионального самоопределения</t>
  </si>
  <si>
    <t>4.1.1.</t>
  </si>
  <si>
    <t>4.1.2.</t>
  </si>
  <si>
    <t>Организация и проведение муниципальных спортивных соревнований, в том числе «Президентских спортивных игр» и «Президентских состязаний».  Участие в областных соревнованиях</t>
  </si>
  <si>
    <t>4.1.3.</t>
  </si>
  <si>
    <t>4.1.4.</t>
  </si>
  <si>
    <t>Организация и проведение  мероприятий, связанных с профилактикой социального неблагополучия в семьях и жестокого обращения с детьми</t>
  </si>
  <si>
    <t>Модернизация учебно-воспитательного процесса в организациях дополнительного образования</t>
  </si>
  <si>
    <t>Ежемесячная денежная выплата работникам образовательных учреждений, которым присвоено почетное звание «Заслуженный педагог Сахалинской области»</t>
  </si>
  <si>
    <t>Ежемесячная денежная выплата работникам образовательных учреждений, имеющим государственные награды РФ</t>
  </si>
  <si>
    <t>Реализация ведомственной целевой программы Сахалинской области «О государственной поддержке учителей общеобразовательных учреждений при ипотечном кредитовании на 2012 – 2014 годы»</t>
  </si>
  <si>
    <t>Заочное обучение и целевая подготовка специалистов</t>
  </si>
  <si>
    <t>Переход на конкурсную основу  отбора руководителей образовательных организаций</t>
  </si>
  <si>
    <t>Введение эффективного контракта как основы трудовых отношений с руководителями, педагогами, работниками системы образования</t>
  </si>
  <si>
    <t>3.1.1.</t>
  </si>
  <si>
    <t>Повышение квалификации работников образования муниципальных образовательных организаций</t>
  </si>
  <si>
    <t>Формирование и сопровождение профессионального развития резерва руководящих кадров учреждений образования</t>
  </si>
  <si>
    <t>Проведение профориентационных мероприятий с обучающимися 10-11 классов школ (консультации, лектории, Дни открытых дверей)</t>
  </si>
  <si>
    <t>Смотры-конкурсы районных методических объединений учителей в рамках профориентационной работы с обучающимися основной и старшей школы</t>
  </si>
  <si>
    <t>5.1. Проведение мероприятий по формированию положительного имиджа педагога в обществе</t>
  </si>
  <si>
    <t>5.1.1.</t>
  </si>
  <si>
    <t>Участие педагогов в областных  конференциях, педагогических чтениях, круглых столах</t>
  </si>
  <si>
    <t>Муниципальные и областные методические выставки по лучшему инновационному опыту педагогов и образовательных организаций</t>
  </si>
  <si>
    <t>Муниципальный конкурс инновационных программ</t>
  </si>
  <si>
    <t>1.1.</t>
  </si>
  <si>
    <t>Организация питания детей</t>
  </si>
  <si>
    <t>1.2.</t>
  </si>
  <si>
    <t>Реализация программ деятельности лагерей, обеспечение их необходимыми канцелярскими и хозяйственными товарами</t>
  </si>
  <si>
    <t>1.3.</t>
  </si>
  <si>
    <t>1.4.</t>
  </si>
  <si>
    <t>Оплата труда педагогических и медицинских работников лагерей с начислениями</t>
  </si>
  <si>
    <t>2.1.</t>
  </si>
  <si>
    <t>Оплата труда  несовершеннолетних с начислениями</t>
  </si>
  <si>
    <t>ИТОГО НА РЕАЛИЗАЦИЮ МУНИЦИПАЛЬНОЙ ПРОГРАММЫ</t>
  </si>
  <si>
    <t>Капитальный ремонт зданий образовательных учреждений позволит привести условия содержания дошкольных образовательных организаций в соответствии с санитарными и иными  требованиями законодательства</t>
  </si>
  <si>
    <t>Создание до 2015 года 70 мест для дошкольников</t>
  </si>
  <si>
    <t>Создание до 2015 года 20 мест для дошкольников</t>
  </si>
  <si>
    <t>Ресурсное обеспечение  муниципальной программы</t>
  </si>
  <si>
    <t>«Развитие образования в муниципальном образовании</t>
  </si>
  <si>
    <t>1.3.1.</t>
  </si>
  <si>
    <t>Капитальный ремонт зданий функционирующих дошкольных образовательных организаций в целях открытия дополнительных мест: МБДОУ д/с № 28 «Рябинка» с.Чехов - 1 группа - 20 мест; МБДОУ № 4 "Маячок"; с.Яблочное - 1 группа-20 мест</t>
  </si>
  <si>
    <t>Укрепление материально-технической базы образовательных учреждений (благоустройство территории, капитальный ремонт, разработка ПСД на благоустройство территории, разработка ПСД на капитальный ремонт)</t>
  </si>
  <si>
    <t>1.2. Капитальный ремонт зданий функционирующих общеобразовательных организаций</t>
  </si>
  <si>
    <t>2.2.3.</t>
  </si>
  <si>
    <t>2.2.4.</t>
  </si>
  <si>
    <t>годы</t>
  </si>
  <si>
    <t>2015-2020</t>
  </si>
  <si>
    <t>Школа-детский сад  на 110 мест в с. Пионеры Холмского района Сахалинской области</t>
  </si>
  <si>
    <t>Оснащение дошкольных образовательных организаций специализированным учебным, учебно-наглядным и учебно-производственным оборудованием</t>
  </si>
  <si>
    <t xml:space="preserve">Создание условий для осуществления присмотра и ухода за детьми в общеобразовательных организациях, организация предоставления образования в общеобразовательных организациях. </t>
  </si>
  <si>
    <t>3.2.1. Оплата труда работников дошкольных образовательных организаций</t>
  </si>
  <si>
    <t xml:space="preserve">Оснащение специализированным учебным, учебно-наглядным и учебно-производственным оборудованием:                   - С(К)ОШ  YIII вида </t>
  </si>
  <si>
    <t>3.1.4.</t>
  </si>
  <si>
    <t>Проведение муниципальных семинаров, конференций, круглых столов по вопросам развития воспитания, дополнительного образования и профилактической работы</t>
  </si>
  <si>
    <t>Будет приобретено оборудование для оснащения вновь созданных мест в дошкольных образовательных учреждениях и новых дошкольных группах действующих ДОУ.</t>
  </si>
  <si>
    <t>Обеспечение стабильного функционирования  дошкольных образовательных организаций</t>
  </si>
  <si>
    <t>Обеспечение стабильного функционирования  дошкольных образовательных организаций, экономия потребления электро- и теплоэнергии</t>
  </si>
  <si>
    <t>Выполнение норм и требований пожарного законодательства</t>
  </si>
  <si>
    <t>Будет приобретено оборудование для оснащения действующих дошкольных образовательных учреждениях</t>
  </si>
  <si>
    <t>Ввод в эксплуатацию в 2016 году объекта строительства, открытие нового спортивного зала</t>
  </si>
  <si>
    <t>2017 -2018</t>
  </si>
  <si>
    <t>Комфортные и безопасные условия обучения и воспитания в общеобразовательных учреждениях</t>
  </si>
  <si>
    <t>Введение федеральных государственных образовательных стандартов на 3-х ступенях обучения</t>
  </si>
  <si>
    <t>Обеспечение и проведение государственной итоговой аттестации</t>
  </si>
  <si>
    <t>Реализация функций по контролю за качеством образования</t>
  </si>
  <si>
    <t>Охват специальным (коррекционным) образованием населения в возрасте 7 – 17 лет</t>
  </si>
  <si>
    <t>Обеспечение стабильного функционирования образовательных организаций, экономия потребления электро- и теплоэнергии</t>
  </si>
  <si>
    <t>Увеличится удельный вес талантливых школьников, получивших поддержку со стороны государства</t>
  </si>
  <si>
    <t>5.1.</t>
  </si>
  <si>
    <t>Поддержка общеобразовательных организаций, внедряющих инновационные образовательные программы и проекты</t>
  </si>
  <si>
    <t>6.1.</t>
  </si>
  <si>
    <t xml:space="preserve">Реализация образовательных программ с применением электронного обучения и дистанционных образовательных технологий для:
- детей-инвалидов, обучающихся на дому
</t>
  </si>
  <si>
    <t>Разработка нормативных документов, регламентирующих деятельность ОУ</t>
  </si>
  <si>
    <t>Отношение среднемесячной заработной платы педагогов муниципальных организаций дополнительного образования детей к среднемесячной заработной плате учителей в Сахалинской области</t>
  </si>
  <si>
    <t xml:space="preserve"> Оплата труда работников организаций дополнительного образования детей</t>
  </si>
  <si>
    <t>Оснащение учебным, учебно-наглядным, учебно-лабораторным и другим оборудованием в соответствии с требованиями к реализации программ</t>
  </si>
  <si>
    <t>Будет приобретено оборудование для оснащения учреждений дополнительного образования</t>
  </si>
  <si>
    <t>Приобретение оборудования и материалов в соответствии с программами развития организаций</t>
  </si>
  <si>
    <t>Обеспечение стабильного функционирования учреждений дополнительного образования детей</t>
  </si>
  <si>
    <t>Повышение кадрового потенциала образовательных организаций (участие педагогов в курсах повышения квалификации)</t>
  </si>
  <si>
    <t>Повышение методического, психологического и педагогического  уровня организаторов воспитания и доп. Образования</t>
  </si>
  <si>
    <t>Повышение методического, психологического и педагогического  уровня организаторов воспитания и доп. образования</t>
  </si>
  <si>
    <t xml:space="preserve">Увеличение доли детей, участвующих в конкурсах, соревнованиях и ставших победителями и призерами </t>
  </si>
  <si>
    <t>Уменьшение количества детей в семьях, находящихся в социально опасном положении и подвергшихся жестокому обращению</t>
  </si>
  <si>
    <t>Будет в полном объеме обеспечено финансирование повышения качества учебно-воспитательного процесса</t>
  </si>
  <si>
    <t xml:space="preserve">Доля работников образовательных учреждений, получающих выплаты в соответствии с законами Сахалинской области, от числа имеющих на это право </t>
  </si>
  <si>
    <t xml:space="preserve">Повысится уровень профессионализма педагогических работников муниципальных образовательных организаций. Всем педагогам будут обеспечены возможности непрерывного профессионального развития. </t>
  </si>
  <si>
    <t xml:space="preserve">Будут обеспечены подбор и расстановка кадров в соответствии с квалификационными требованиями, установленными к педагогическим должностям </t>
  </si>
  <si>
    <t xml:space="preserve">Будет сформирована система оценки профессиональных компетенций и личностных качеств руководителей общеобразовательных организаций. </t>
  </si>
  <si>
    <t>Будет завершен переход к эффективному контракту и создана система привлечения молодых специалистов и работников с высокой мотивацией и достаточной квалификацией для обеспечения высокого качества результатов труда</t>
  </si>
  <si>
    <t xml:space="preserve">Создание системы программно-целевого подхода   непрерывного педагогического образования   педагогов муниципальных образовательных учреждений». </t>
  </si>
  <si>
    <t xml:space="preserve">Формирование резерва руководящих кадров муниципальной системы образования и механизмы его регулярного обновления и повышения квалификации                </t>
  </si>
  <si>
    <t xml:space="preserve">Создание условий   для формирования  у обучающихся положительного отношения и психологической готовности к педагогическому труду,  потребности </t>
  </si>
  <si>
    <t>Организация лагерей дневного пребывания различных видов и форм</t>
  </si>
  <si>
    <t>Открытие мастерских по технологии для обучающихся в 5-11 классах, уменьшение количества обучающихся во вторую смену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</si>
  <si>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          </t>
  </si>
  <si>
    <t>Повысится социальный статус и престиж профессии педагога.</t>
  </si>
  <si>
    <t>ИТОГО ПО МЕРОПРИЯТИЮ 2.</t>
  </si>
  <si>
    <t>ИТОГО ПО МЕРОПРИЯТИЮ 3.</t>
  </si>
  <si>
    <t>МЕРОПРИЯТИЕ 2. Создание условий для  максимального охвата детей организованными формами дошкольного образования</t>
  </si>
  <si>
    <t>Мероприятие 1. Развитие инфраструктуры доступности качественного общего образования</t>
  </si>
  <si>
    <r>
      <t>Подпрограмма № 2 «Обеспечение доступности и  качества общего образования, в том числе и в сельской</t>
    </r>
    <r>
      <rPr>
        <u/>
        <sz val="14"/>
        <rFont val="Times New Roman"/>
        <family val="1"/>
        <charset val="204"/>
      </rPr>
      <t xml:space="preserve"> </t>
    </r>
    <r>
      <rPr>
        <b/>
        <u/>
        <sz val="14"/>
        <rFont val="Times New Roman"/>
        <family val="1"/>
        <charset val="204"/>
      </rPr>
      <t xml:space="preserve">местности» </t>
    </r>
  </si>
  <si>
    <t>Мероприятие  3. Развитие инклюзивного образования</t>
  </si>
  <si>
    <t>Мероприятие 4. Выявление и поддержка одаренных детей</t>
  </si>
  <si>
    <t>Мероприятие 5. Поддержка и распространение лучших образцов педагогической практики</t>
  </si>
  <si>
    <t>Мероприятие 6. Внедрение дистанционных образовательных технологий и электронного обучения</t>
  </si>
  <si>
    <t>Мероприятие 1. Развитие нормативно-правовой базы по вопросам воспитания, дополнительного образования, профилактики социального сиротства и жестокого обращения с детьми</t>
  </si>
  <si>
    <t>Мероприятие 2. Организация предоставления дополнительного образования детей в муниципальных образовательных организациях дополнительного образования детей</t>
  </si>
  <si>
    <t>ИТОГО ПО МЕРОПРИЯТИЮ 3</t>
  </si>
  <si>
    <t>Мероприятие 4. Выявление и поддержка талантливых детей в области спорта, туризма, культуры и искусства</t>
  </si>
  <si>
    <t>ИТОГО ПО МЕРОПРИЯТИЮ 4</t>
  </si>
  <si>
    <t>Мероприятие 5. Модернизация учебно - воспитательного процесса в организациях дополнительного образования</t>
  </si>
  <si>
    <t>ИТОГО ПО МЕРОПРИЯТИЮ 5</t>
  </si>
  <si>
    <t>ВСЕГО НА РЕАЛИЗАЦИЮ ПОДПРОГРАММЫ 1</t>
  </si>
  <si>
    <t>ВСЕГО НА РЕАЛИЗАЦИЮ ПОДПРОГРАММЫ 3</t>
  </si>
  <si>
    <t>Подпрограмма 4. Развитие кадрового потенциала</t>
  </si>
  <si>
    <t>Мероприятие 1. Усиление социальной поддержки  и стимулирование  труда педагогических работников через внедрение "Эффективного контракта профессионального стандарта"</t>
  </si>
  <si>
    <t>ИТОГО ПО МЕРОПРИЯТИЮ 1</t>
  </si>
  <si>
    <t>Мероприятие 2. Обновление  состава и  компетенций педагогических кадров, создание  механизмов мотивации педагогов  к повышению  качества работы  и  непрерывному профессиональному развитию</t>
  </si>
  <si>
    <t>2.1. Развитие кадровых ресурсов муниципальной системы образования</t>
  </si>
  <si>
    <t>ИТОГО ПО МЕРОПРИЯТИЮ 2</t>
  </si>
  <si>
    <t>Мероприятие 3. Освоение и внедрение эффективных современных моделей модернизации непрерывного педагогического образования, системы переподготовки и повышения квалификации,  научно-методической поддержки педагогов и руководителей образовательных учреждений</t>
  </si>
  <si>
    <t>3.1. Реализация системы программно-целевого подхода непрерывного педагогического образования руководителей и педагогов муниципальных образовательных учреждений</t>
  </si>
  <si>
    <t>Мероприятие 4. Развитие системы профессиональной ориентации и предпрофессиональной подготовки  выпускников учреждений общего образования</t>
  </si>
  <si>
    <t>Мероприятие 5. Повышение социального  престижа и привлекательности педагогической профессии</t>
  </si>
  <si>
    <t>ВСЕГО НА РЕАЛИЗАЦИЮ ПОДПРОГРАММЫ 4</t>
  </si>
  <si>
    <t>Мероприятие 1. Организация лагерей дневного пребывания, профильных и трудовых лагерей с питанием</t>
  </si>
  <si>
    <t>ВСЕГО НА РЕАЛИЗАЦИЮ ПОДПРОГРАММЫ 5</t>
  </si>
  <si>
    <t xml:space="preserve">Оснащение учебным, учебно-наглядным и учебно-лабораторным оборудованием </t>
  </si>
  <si>
    <t>1.3. Обеспечение безопасности общеобразовательных организаций</t>
  </si>
  <si>
    <t xml:space="preserve">ИТОГО ПО МЕРОПРИЯТИЮ 1 </t>
  </si>
  <si>
    <t>ИТОГО ПО МЕРОПРИЯТИЮ 6</t>
  </si>
  <si>
    <t>ВСЕГО НА РЕАЛИЗАЦИЮ ПОДПРОГРАММЫ 2</t>
  </si>
  <si>
    <t>Благоустройство территории, в т.ч. разработка ПСД</t>
  </si>
  <si>
    <t>Научно - практические конференции, мастер-классы, форумы педагогов-новаторов, научно-практические семинары и круглые столы</t>
  </si>
  <si>
    <t>Муниципальный конкурс «Лидер муниципальной образовательной системы»</t>
  </si>
  <si>
    <t>Обеспечение функционирования учреждений дополнительного образования детей, в том числе с учетом современных требований энергоэффективности</t>
  </si>
  <si>
    <t>Повышение кадрового потенциала образовательных организаций (участие педагогов в областных семинарах, тренингах,конференциях)</t>
  </si>
  <si>
    <t>Подпрограмма 5. Летний отдых, оздоровление и занятость детей и молодёжи</t>
  </si>
  <si>
    <t>Подпрограмма 3 «Развитие системы воспитания, дополнительного образования, профилактики социального сиротства и жестокого обращения с детьми»</t>
  </si>
  <si>
    <t>1.1.  Строительство, реконструкция зданий дошкольных образовательных организаций, в том числе по Планам мероприятий муниципального образования «Холмский городской округ»</t>
  </si>
  <si>
    <t>1.2.  Капитальный ремонт зданий функционирующих дошкольных образовательных организаций</t>
  </si>
  <si>
    <t>Мероприятие 2. Организация временной занятости несовершеннолетних от 14 до 18 лет</t>
  </si>
  <si>
    <t>2.1. Развитие негосударственных и вариативных форм дошкольного образования</t>
  </si>
  <si>
    <t>Реализация плана поэтапного перехода к организации работы в дошкольных образовательных организациях в соответствии с федеральным государственным образовательным стандартом дошкольного образования</t>
  </si>
  <si>
    <t>Оплата труда работников общеобразовательных учреждений</t>
  </si>
  <si>
    <t>Оплата труда учителей, работающих в специальных (коррекционных) образовательных организациях для обучающихся воспитанников с ограниченными возможностями здоровья</t>
  </si>
  <si>
    <t xml:space="preserve">Обеспечение условий для детей-инвалидов, обучающихся на дому, с применением дистанционных образовательных технологий, в том числе: оплата труда учителей, работающих с детьми - инвалидами, обучающимися на дому </t>
  </si>
  <si>
    <t>Приложение № 3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</si>
  <si>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</t>
  </si>
  <si>
    <t>1.2.2.</t>
  </si>
  <si>
    <t>2016 -2017</t>
  </si>
  <si>
    <t>1.2.3.</t>
  </si>
  <si>
    <t>3.1.5.</t>
  </si>
  <si>
    <t>Обеспечение пожарной безопасности на территориях образовательных организаций и ликвидация травмоопасных факторов</t>
  </si>
  <si>
    <t>с ОСОШ(516,3)</t>
  </si>
  <si>
    <t>с ОСОШ(420,0)</t>
  </si>
  <si>
    <t>с ОСОШ (200,0)</t>
  </si>
  <si>
    <t>с ОСОШ (300,0)</t>
  </si>
  <si>
    <t>с ОСОШ (444,4+27723)</t>
  </si>
  <si>
    <t>с ОСОШ (511,6+ 18191,2)</t>
  </si>
  <si>
    <t>с ОСОШ(8463,0 + 462558,2)</t>
  </si>
  <si>
    <t>с ОСОШ(7313,+399429,7)</t>
  </si>
  <si>
    <t>с ОСОШ(7668,4+418887,9)</t>
  </si>
  <si>
    <t>с ОСОШ(420,0+11926)</t>
  </si>
  <si>
    <t>Укрепление материально – технической базы образовательных учреждений. Капитальный ремонт МАОУ СОШ с. Яблочное (фасад)</t>
  </si>
  <si>
    <t>Укрепление материально – технической базы образовательных учреждений. Капитальный ремонт купола зимнего сада МБДОУ детского сада «Теремок» г. Холмска</t>
  </si>
  <si>
    <t>Укрепление материально – технической базы образовательных учреждений. Капитальный ремонт фасада здания МБДОУ детского сада № 6 "Ромашка" г. Холмска</t>
  </si>
  <si>
    <t>Компенсация части родительской платы за присмотр и уход за детьми в дошкольных  образовательных учреждениях</t>
  </si>
  <si>
    <t>Укрепление материально – технической базы образовательных учреждений. «Капитальный ремонт МБОУ СОШ с.Костромское» по адресу: Сахалинская область, Холмский район, с. Костромское, ул. Центральная, 4</t>
  </si>
  <si>
    <t>Обновление материально-технической базы общеобразовательных учреждений</t>
  </si>
  <si>
    <t>Осуществление организации питания обучающихся в образовательных организациях</t>
  </si>
  <si>
    <t>Среднемесячная заработная плата педагогических работников муниципальных общеобразовательных организаций будет соответствовать среднемесячной начисленной заработной плате наемных работников в организациях, у индивидуальных предпринимателей и физических лиц (среднемесячного дохода от трудовой деятельности) в Сахалинской области</t>
  </si>
  <si>
    <t>Оплата труда работников  дошкольной группы при общеобразовательных учреждениях</t>
  </si>
  <si>
    <t>Оснащение учебным,учебно-наглядным и учебно-лабораторным  оборудованием дошкольной группы при общеобразовательных учреждениях</t>
  </si>
  <si>
    <t>Комфортные и безопасные условия обучения и воспитания в  учреждениях дополнительного образования</t>
  </si>
  <si>
    <t>Осуществление организации питания обучающихся в (коррекционных) образовательных организациях для обучающихся воспитанников с ограниченными возможностями здоровья</t>
  </si>
  <si>
    <t>Обеспечение стабильного функционирования  общеобразовательных организаций</t>
  </si>
  <si>
    <t xml:space="preserve">Предоставление качественного, доступного и здорового питания детям и подросткам во время учебного процесса, сохранение и укрепление их здоровья
</t>
  </si>
  <si>
    <t xml:space="preserve">Материальная поддержка воспитания и обучения детей, посещающих образовательные организации, реализующие образовательную программу дошкольного образования, родителям (законным представителям)
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</si>
  <si>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образования, в регионе повысится качество кадрового состава дошкольного образования.</t>
  </si>
  <si>
    <t>Строительство мастерских МБОУ СОШ № 9 г.Холмска</t>
  </si>
  <si>
    <t>1.2.4.</t>
  </si>
  <si>
    <t>1.3.2.</t>
  </si>
  <si>
    <t>1.3.3.</t>
  </si>
  <si>
    <t>1.3.4.</t>
  </si>
  <si>
    <t>1.4.1.</t>
  </si>
  <si>
    <t>1.4.2.</t>
  </si>
  <si>
    <t>1.5.1.</t>
  </si>
  <si>
    <t>1.6.1.</t>
  </si>
  <si>
    <t>3.2.1.1.</t>
  </si>
  <si>
    <t>3.2.3.</t>
  </si>
  <si>
    <t>3.2.4.</t>
  </si>
  <si>
    <t>3.2.5.</t>
  </si>
  <si>
    <t>3.2.6.</t>
  </si>
  <si>
    <t>1.4.3.</t>
  </si>
  <si>
    <t>2.1.2.</t>
  </si>
  <si>
    <t>2.2.1.</t>
  </si>
  <si>
    <t>3.1.3.</t>
  </si>
  <si>
    <t>3.1.6.</t>
  </si>
  <si>
    <t>4.1.</t>
  </si>
  <si>
    <t>4.2.</t>
  </si>
  <si>
    <t>2.2.5.</t>
  </si>
  <si>
    <t>2.2.6.</t>
  </si>
  <si>
    <t>2.1.3.</t>
  </si>
  <si>
    <t>2.1.4.</t>
  </si>
  <si>
    <t>5.1.2.</t>
  </si>
  <si>
    <t>5.1.3.</t>
  </si>
  <si>
    <t>5.1.4.</t>
  </si>
  <si>
    <t>5.1.5.</t>
  </si>
  <si>
    <t>5.1.6.</t>
  </si>
  <si>
    <t>5.1.7.</t>
  </si>
  <si>
    <r>
      <t xml:space="preserve">Конкурсный отбор </t>
    </r>
    <r>
      <rPr>
        <sz val="11"/>
        <color rgb="FF7030A0"/>
        <rFont val="Times New Roman"/>
        <family val="1"/>
        <charset val="204"/>
      </rPr>
      <t>обще</t>
    </r>
    <r>
      <rPr>
        <sz val="11"/>
        <rFont val="Times New Roman"/>
        <family val="1"/>
        <charset val="204"/>
      </rPr>
      <t>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  </r>
  </si>
  <si>
    <t>1.5.</t>
  </si>
  <si>
    <t>Льготный провоз школьников в пассажирском транспорте</t>
  </si>
  <si>
    <t>Обеспечение гарантированного своевременного и безопасного подвоза детей</t>
  </si>
  <si>
    <t>2017 -2020</t>
  </si>
  <si>
    <t>3.1.7.</t>
  </si>
  <si>
    <t>Обеспечение функционирования общеобразовательных учреждений, в том числе с учетом современных требований энергоэффективности</t>
  </si>
  <si>
    <t>Обеспечение функционирования учреждения, в том числе с учетом современных требований энергоэффективности</t>
  </si>
  <si>
    <t>Мероприятие 6. Социальная защита детей</t>
  </si>
  <si>
    <t>Обеспечение мер социальной поддержки детей-сирот и детей, оставшихся без попечения родителей</t>
  </si>
  <si>
    <t>Администрация МО «Холмский городской округ»</t>
  </si>
  <si>
    <t>Подпрограмма 6. Функционирование прочих учреждений образования</t>
  </si>
  <si>
    <t>Мероприятие 1. Организация ведения бюджетного (бухгалтерского), налогового учета образовательных учреждений, укрепление материально-технической базы</t>
  </si>
  <si>
    <t>Создание условий для организации и ведения бухгалтерского (бухгалтерского), налогового учета образовательных учреждений</t>
  </si>
  <si>
    <t>Мероприятие 2. Хозяйственное обслуживание учреждений образования, укрепление материально-технической базы</t>
  </si>
  <si>
    <t>Мероприятие 3. Обеспечение методического и информационного сопровождения развития муниципальной системы образования, укрепление материально-технической базы</t>
  </si>
  <si>
    <t>Обеспечение предоставления методического обслуживания в области дошкольного, общего и дополнительного образования</t>
  </si>
  <si>
    <t>ВСЕГО НА РЕАЛИЗАЦИЮ ПОДПРОГРАММЫ 6</t>
  </si>
  <si>
    <t>Создание условий для хозяйственного обслуживания учреждений образования</t>
  </si>
  <si>
    <t>снято</t>
  </si>
  <si>
    <t>разделить ДОУ 56,0</t>
  </si>
  <si>
    <t>СОШ 144,8</t>
  </si>
  <si>
    <t>УДО 39,7</t>
  </si>
  <si>
    <t>доб.6 меропр.</t>
  </si>
  <si>
    <t>"ЛИДЕР"</t>
  </si>
  <si>
    <t>убрать с 2 подпр.5 меропр.</t>
  </si>
  <si>
    <t>добавили</t>
  </si>
  <si>
    <t>тепло и свет</t>
  </si>
  <si>
    <t>прочие 611</t>
  </si>
  <si>
    <t>по 612</t>
  </si>
  <si>
    <t>добавляем</t>
  </si>
  <si>
    <t>было</t>
  </si>
  <si>
    <t>1.2.5.</t>
  </si>
  <si>
    <t>ОБ</t>
  </si>
  <si>
    <t>МБ</t>
  </si>
  <si>
    <t>фасад СОШ № 1 нам 4238,6+ СЕЗ 6465,6</t>
  </si>
  <si>
    <t>Мероприятие 6. Поддержка и распространение лучших образцов педагогической практики</t>
  </si>
  <si>
    <t>готово</t>
  </si>
  <si>
    <t>сняли 116,3</t>
  </si>
  <si>
    <t>сняли 162,8</t>
  </si>
  <si>
    <t>наше ОБ</t>
  </si>
  <si>
    <t>плюс УК</t>
  </si>
  <si>
    <t>вместе ОБ</t>
  </si>
  <si>
    <t>добавили меропр. И строку</t>
  </si>
  <si>
    <t>добавлена строка</t>
  </si>
  <si>
    <t>прочие,тек.рем.,налоги</t>
  </si>
  <si>
    <t>плюс ФОТ ГПД  и отпуск  и 112</t>
  </si>
  <si>
    <t xml:space="preserve"> и тепло 320</t>
  </si>
  <si>
    <t>с ОСОШ(8713,0 + 470270,8)</t>
  </si>
  <si>
    <t>с ФОТ ПДО</t>
  </si>
  <si>
    <t>доб строку</t>
  </si>
  <si>
    <t>доб.строку</t>
  </si>
  <si>
    <t>С ОСОШ(344,2+41546,4)</t>
  </si>
  <si>
    <t>доб.2524,5</t>
  </si>
  <si>
    <t>(279,6+19019,7)</t>
  </si>
  <si>
    <t>в т.ч ОСОШ</t>
  </si>
  <si>
    <t>доб.</t>
  </si>
  <si>
    <t>тепло и свет 440,1 плюс прочие 2676,7</t>
  </si>
  <si>
    <t>доб.3116,8</t>
  </si>
  <si>
    <t>доб.прочее 27751,9</t>
  </si>
  <si>
    <t>добав.19807,9</t>
  </si>
  <si>
    <t>исправили</t>
  </si>
  <si>
    <t>сняли 2000</t>
  </si>
  <si>
    <t>доб.20619,9</t>
  </si>
  <si>
    <t>доб.4505,7</t>
  </si>
  <si>
    <t>снять 7676,9 и 77,5</t>
  </si>
  <si>
    <t>доб.25,5 софинанс. На все</t>
  </si>
  <si>
    <t>снять 4343,0 и 37,0</t>
  </si>
  <si>
    <t>Укрепление материально – технической базы образовательных учреждений. Капитальный ремонт фасада здания  МАОУ лицей "Надежда" г.Холмска, расположенного по адресу: ул.Московская,4</t>
  </si>
  <si>
    <t>доб.3662,9 и 37</t>
  </si>
  <si>
    <t>доб.7165,3</t>
  </si>
  <si>
    <t>убрано на 4 подпр.6 меропр. 240,5</t>
  </si>
  <si>
    <t>снято 97,5 с нас ОБ</t>
  </si>
  <si>
    <t>мы-639,0</t>
  </si>
  <si>
    <t>УК-63,1</t>
  </si>
  <si>
    <t>доб.71,0</t>
  </si>
  <si>
    <t>УФ-61,7 стало</t>
  </si>
  <si>
    <t>мы-108,8</t>
  </si>
  <si>
    <t>УК-10</t>
  </si>
  <si>
    <t>УФ10,5 стало</t>
  </si>
  <si>
    <t>доб.19,2</t>
  </si>
  <si>
    <t>мы-167,8</t>
  </si>
  <si>
    <t>УК-15,4</t>
  </si>
  <si>
    <t>УФ 16,3 стало</t>
  </si>
  <si>
    <t>доб.29,7</t>
  </si>
  <si>
    <t>Соответствие организации подвоза школьников требованиям ГОСТа</t>
  </si>
  <si>
    <t>Обеспечение своевременной реализации социальных прав и гарантий детей-сирот и детей, оставшихся без попечения родителей</t>
  </si>
  <si>
    <t>Конкурсный отбор 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</si>
  <si>
    <t>Обеспечение деятельности Централизованной бухгалтерии учреждений образований по осуществлению бюджетного (бухгалтерского), налогового учета образовательных учреждений</t>
  </si>
  <si>
    <t>Повышение уровня обслуживания учреждений образования</t>
  </si>
  <si>
    <t>Обеспечение методического и информационного сопровождения развития муниципальной системы образования</t>
  </si>
  <si>
    <t>Льготы педагогическим работникам, работникам здравоохранения и культуры, проживающим и работающим в сельской местности, а также проживающим в городе и работающим на селе</t>
  </si>
  <si>
    <t>3.1.</t>
  </si>
  <si>
    <t>Укрепление материально – технической базы образовательных учреждений. Ремонт кровли МБДОУ детского сада «Теремок» г. Холмска</t>
  </si>
  <si>
    <t>Муниципальное казенное учреждение «Служба единого заказчика»</t>
  </si>
  <si>
    <t>1.4. Обеспечение функционирования общеобразовательных учреждений, в том числе с учетом современных требований энергоэффективности</t>
  </si>
  <si>
    <t xml:space="preserve">Администрация 
МО «Холмский городской округ»
</t>
  </si>
  <si>
    <t>МБУ «Отдел капитального строительства» муниципального образования "Холмский городской округ"</t>
  </si>
  <si>
    <t>1.2.6.</t>
  </si>
  <si>
    <t>Укрепление материально – технической базы образовательных учреждений. Капитальный ремонт МАОУ лицей "Надежда" г.Холмска, расположенного по адресу: ул.Победы,12; ремонт пожарной сигнализации, ремонт карниза, ремонт перекрытия 2 этажа, ремонт покрытия полов</t>
  </si>
  <si>
    <t>Укрепление материально – технической базы образовательных учреждений. Капитальный ремонт фасада здания  МАОУ СОШ № 9 г.Холмска. Капитальный ремонт входных групп здания МАОУ СОШ № 9 г.Холмска.Благоустройство территории МАОУ СОШ № 9 г.Холмска</t>
  </si>
  <si>
    <t>Мероприятие 7. Льготный провоз школьников в пассажирском транспорте</t>
  </si>
  <si>
    <t>7.1.</t>
  </si>
  <si>
    <t>2016 -2018</t>
  </si>
  <si>
    <t>2015-2025</t>
  </si>
  <si>
    <t>2016-2021</t>
  </si>
  <si>
    <t>2015 -2021</t>
  </si>
  <si>
    <t>2015 -2025</t>
  </si>
  <si>
    <t>2017 -2025</t>
  </si>
  <si>
    <t>2015 - 2025</t>
  </si>
  <si>
    <t>2016-2025</t>
  </si>
  <si>
    <t>2016 - 2021</t>
  </si>
  <si>
    <t>Ограждение участка административного здания по адресу: ул.Советская 68-А</t>
  </si>
  <si>
    <r>
      <t>2.3.</t>
    </r>
    <r>
      <rPr>
        <b/>
        <sz val="11"/>
        <color indexed="8"/>
        <rFont val="Times New Roman"/>
        <family val="1"/>
        <charset val="204"/>
      </rPr>
      <t xml:space="preserve"> Обеспечение безопасности организаций дополнительного образования детей</t>
    </r>
  </si>
  <si>
    <t>2019 - 2021</t>
  </si>
  <si>
    <t>Комфортные и безопасные условия обучения и воспитания в организациях дополнительного образования</t>
  </si>
  <si>
    <t>Установка систем видеонаблюдения, кнопок экстренного вызова полиции, СКУД, позволит обеспечить антитеррористическую безопасность в дошкольных образовательных организациях</t>
  </si>
  <si>
    <t>2015 - 2021</t>
  </si>
  <si>
    <t>2017 - 2025</t>
  </si>
  <si>
    <t>Аттестация педагогических работников муниципальных образовательных организаций</t>
  </si>
  <si>
    <t xml:space="preserve"> «Холмский городской округ» на 2015-2025 годы»</t>
  </si>
  <si>
    <t xml:space="preserve">к муниципальной программе «Развитие образования в муниципальном образовании «Холмский городской округ» на 2015-2025 годы» </t>
  </si>
  <si>
    <t>проыерить мб 2023 год не идет на 2,8</t>
  </si>
  <si>
    <t>ДОУ 2 благоустройство</t>
  </si>
  <si>
    <t>Золушка благоустройство</t>
  </si>
  <si>
    <t>ДОУ 4 капремонт</t>
  </si>
  <si>
    <t>Лицей капремонт</t>
  </si>
  <si>
    <t>Подпрограмма 2</t>
  </si>
  <si>
    <t>обл</t>
  </si>
  <si>
    <t>мб</t>
  </si>
  <si>
    <t>ИТОГО</t>
  </si>
  <si>
    <t>Мероприятие 7. Содействие в обеспечении образовательных учреждений муниципальных образований Сахалинской области  педагогическими кадрами</t>
  </si>
  <si>
    <t>Обучение граждан по образовательным программам высшего образования по направлению "Образование и педагогика"</t>
  </si>
  <si>
    <t>ИТОГО ПО МЕРОПРИЯТИЮ 7</t>
  </si>
  <si>
    <t>Привлечение педагогических кадров</t>
  </si>
  <si>
    <t xml:space="preserve">Укрепление материально – технической базы образовательных учреждений (капитальный ремонт, ремонт, замена оконных блоков, благоустройство территории, в том числе разработка проектно-сметной документации) </t>
  </si>
  <si>
    <t>Создание условий для функционирования лагерей с питанием: страхование, дератизация, акарицидная обработка, средства оказания первой медицинской помощи, прохождение санминимума и лабораторных исследований</t>
  </si>
  <si>
    <t>2.3.1.</t>
  </si>
  <si>
    <t>Организация и проведение мероприятий, связанных с развитием детского и молодежного движения. Участие в мероприятиях различного уровня</t>
  </si>
  <si>
    <t>Муниципальные профессиональные конкурсы: «Учитель года», «Воспитатель года», «Самый классный классный», «Сердце отдаю детям» и участие в конкурсах профессионального мастерства различного уровня</t>
  </si>
  <si>
    <t>Мероприятия по антитеррористической безопасности образовательных учреждений (оборудование системами видеонаблюдения и охранной сигнализацией, системами оповещения и управления эвакуацией,наружного освещения, постами охраны,средствами передачи тревожных сообщений в подразделения вневедомственной охраны, установка ограждений, установка системы контроля и управления доступом, в т.ч. разработка ПСД)</t>
  </si>
  <si>
    <t>Мероприятия по обеспечению антитеррористической безопасности образовательных организаций (оборудование системами видеонаблюдения и охранной сигнализацией, системами оповещения и управления эвакуацией,наружного освещения, постами охраны,средствами передачи тревожных сообщений в подразделения вневедомственной охраны, установка ограждений, установка системы контроля и управления доступом, в т.ч. разработка ПСД)</t>
  </si>
  <si>
    <t>Мероприятия по обеспечению антитеррористической безопасности организаций дополнительного образования (оборудование системами видеонаблюдения и охранной сигнализацией, системами оповещения и управления эвакуацией,наружного освещения, постами охраны,средствами передачи тревожных сообщений в подразделения вневедомственной охраны, установка ограждений, установка системы контроля и управления доступом, в т.ч. разработка ПСД)</t>
  </si>
  <si>
    <t>2.2.</t>
  </si>
  <si>
    <t>Строительство школы на 400 мест по ул. Некрасова в г.Холмске</t>
  </si>
  <si>
    <t>Обеспечение доступности общего образования. Создание в 2025 году 400 мест для школьников.</t>
  </si>
  <si>
    <t>2015-2022</t>
  </si>
  <si>
    <t>2017 -2019</t>
  </si>
  <si>
    <t>2017-2025</t>
  </si>
  <si>
    <t>2019-2025</t>
  </si>
  <si>
    <t>2015 -2022</t>
  </si>
  <si>
    <t>Создание условий для предоставления транспортных услуг обучающимся</t>
  </si>
  <si>
    <t>Приобретение средств индивидуальной защиты для организации трудоустройства несовершеннолетних</t>
  </si>
  <si>
    <t>областной</t>
  </si>
  <si>
    <t>местный</t>
  </si>
  <si>
    <t>обастной</t>
  </si>
  <si>
    <t>Обеспечение выплат ежемесячного денежного вознаграждения за классное руководство педагогическим работникам государственных образовательных организаций субъектов Российской Федерации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</si>
  <si>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Создание дополнительной мотивации классных руководителей, ответственных за воспитательную работу и социализацию школьников</t>
  </si>
  <si>
    <t>3.1.8.</t>
  </si>
  <si>
    <t>2020 -2022</t>
  </si>
  <si>
    <t>2020-2022</t>
  </si>
  <si>
    <t>Департамент образования администрации МО «Холмский городской округ»</t>
  </si>
  <si>
    <t>Департамент образования администрации МО «Холмский городской округ» Муниципальное казенное учреждение «Служба единого заказчика»</t>
  </si>
  <si>
    <t>Департамент образования администрации МО «Холмский городской округ» Департамент культуры, спорта и молодежной политики администрации МО «Холмский городской округ»</t>
  </si>
  <si>
    <t>Департамент образования администрации МО «Холмский городской округ» Информационно-методический центр МО «Холмский городской округ»</t>
  </si>
  <si>
    <t>Департамент образования администрации МО «Холмский городской округ» МКУ «Служба единого заказчика»</t>
  </si>
  <si>
    <t>Департамент образования администрации МО «Холмский городской округ» Информационно-методический центр МО «Холмский городской округ».</t>
  </si>
  <si>
    <t>Информационно-методический центр МО «Холмский городской округ»</t>
  </si>
  <si>
    <t xml:space="preserve">Департамент образования администрации МО «Холмский городской округ»
Департамент культуры, спорта и молодежной политики администрации МО «Холмский городской округ»
</t>
  </si>
  <si>
    <t>1.1.4.</t>
  </si>
  <si>
    <t>Строительство  школы на 330 мест в с.Чехов</t>
  </si>
  <si>
    <t>1.2.7.</t>
  </si>
  <si>
    <t>добавили строку</t>
  </si>
  <si>
    <t>доб.1 007,3 ФБ и доб.3 183,4 ОБ</t>
  </si>
  <si>
    <t xml:space="preserve"> ещё доб.10,9 ФБ и снято 10,9 ОБ</t>
  </si>
  <si>
    <t>уведомл.ми-ва</t>
  </si>
  <si>
    <t>Укрепление материально – технической базы образовательных учреждений. Капитальный ремонт спортивного зала  МАОУ СОШ с.Чапланово ( в т.ч.разработка ПСД)</t>
  </si>
  <si>
    <t>Организация  и проведение  муниципальных, а также участие в областных творческих конкурсах по различных направленностям дополнительного образования. Награждение талантливых детей и творческих коллективов учреждений дополнительного образования</t>
  </si>
  <si>
    <t>добавлена строка, написала и ожидаемый эффект,надо ли?</t>
  </si>
  <si>
    <t>2021-2025</t>
  </si>
  <si>
    <t>Обеспечение персонифицированного финансирования дополнительного образования детей</t>
  </si>
  <si>
    <t>Мероприятие 7. Обеспечение персонифицированного финансирования дополнительного образования детей</t>
  </si>
  <si>
    <t>Развитие муниципальной системы выявления одаренных детей, в том числе проведение мунциипальных мероприятий, награждение одаренных школьников, участие в региональных и всероссийских мероприятиях</t>
  </si>
  <si>
    <t>2021 -2026</t>
  </si>
  <si>
    <t>Обеспечение доступности общего образования. Создание в 2026 году 330 мест для школьников.</t>
  </si>
  <si>
    <t>Закрепление за детьми индивидуальных гарантий по оплате выбираемых ими услуг по реализации дополнительных программ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</si>
</sst>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9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sz val="14"/>
      <name val="Arial"/>
      <family val="2"/>
      <charset val="204"/>
    </font>
    <font>
      <b/>
      <i/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4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sz val="11"/>
      <color rgb="FF7030A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4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0">
    <xf numFmtId="0" fontId="0" fillId="0" borderId="0" xfId="0"/>
    <xf numFmtId="4" fontId="3" fillId="0" borderId="1" xfId="0" applyNumberFormat="1" applyFont="1" applyFill="1" applyBorder="1" applyAlignment="1"/>
    <xf numFmtId="4" fontId="3" fillId="0" borderId="2" xfId="0" applyNumberFormat="1" applyFont="1" applyFill="1" applyBorder="1" applyAlignment="1"/>
    <xf numFmtId="4" fontId="8" fillId="0" borderId="2" xfId="0" applyNumberFormat="1" applyFont="1" applyFill="1" applyBorder="1" applyAlignment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 applyAlignment="1"/>
    <xf numFmtId="164" fontId="7" fillId="0" borderId="2" xfId="0" applyNumberFormat="1" applyFont="1" applyFill="1" applyBorder="1" applyAlignment="1"/>
    <xf numFmtId="164" fontId="7" fillId="0" borderId="3" xfId="0" applyNumberFormat="1" applyFont="1" applyFill="1" applyBorder="1" applyAlignment="1"/>
    <xf numFmtId="164" fontId="2" fillId="0" borderId="3" xfId="0" applyNumberFormat="1" applyFont="1" applyFill="1" applyBorder="1" applyAlignment="1"/>
    <xf numFmtId="164" fontId="7" fillId="0" borderId="2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/>
    <xf numFmtId="164" fontId="8" fillId="0" borderId="2" xfId="0" applyNumberFormat="1" applyFont="1" applyFill="1" applyBorder="1" applyAlignment="1"/>
    <xf numFmtId="164" fontId="3" fillId="0" borderId="2" xfId="0" applyNumberFormat="1" applyFont="1" applyFill="1" applyBorder="1" applyAlignment="1"/>
    <xf numFmtId="164" fontId="8" fillId="0" borderId="3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>
      <alignment horizontal="justify" vertical="top" wrapText="1"/>
    </xf>
    <xf numFmtId="164" fontId="8" fillId="0" borderId="3" xfId="0" applyNumberFormat="1" applyFont="1" applyFill="1" applyBorder="1" applyAlignment="1">
      <alignment horizontal="justify" vertical="top" wrapText="1"/>
    </xf>
    <xf numFmtId="0" fontId="8" fillId="0" borderId="2" xfId="0" applyFont="1" applyFill="1" applyBorder="1" applyAlignment="1"/>
    <xf numFmtId="0" fontId="0" fillId="0" borderId="3" xfId="0" applyFill="1" applyBorder="1"/>
    <xf numFmtId="164" fontId="0" fillId="0" borderId="3" xfId="0" applyNumberFormat="1" applyFill="1" applyBorder="1"/>
    <xf numFmtId="164" fontId="3" fillId="0" borderId="3" xfId="0" applyNumberFormat="1" applyFont="1" applyFill="1" applyBorder="1"/>
    <xf numFmtId="164" fontId="3" fillId="0" borderId="3" xfId="0" applyNumberFormat="1" applyFont="1" applyFill="1" applyBorder="1" applyAlignment="1"/>
    <xf numFmtId="0" fontId="14" fillId="0" borderId="0" xfId="0" applyFont="1" applyFill="1"/>
    <xf numFmtId="0" fontId="6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8" fillId="0" borderId="3" xfId="0" applyFont="1" applyFill="1" applyBorder="1" applyAlignment="1"/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7" fillId="0" borderId="0" xfId="0" applyFont="1" applyFill="1" applyBorder="1" applyAlignment="1">
      <alignment vertical="top" wrapText="1"/>
    </xf>
    <xf numFmtId="164" fontId="0" fillId="0" borderId="2" xfId="0" applyNumberFormat="1" applyFill="1" applyBorder="1" applyAlignment="1"/>
    <xf numFmtId="0" fontId="8" fillId="0" borderId="5" xfId="0" applyFont="1" applyFill="1" applyBorder="1" applyAlignment="1">
      <alignment horizontal="justify" vertical="top" wrapText="1"/>
    </xf>
    <xf numFmtId="0" fontId="8" fillId="0" borderId="6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wrapText="1"/>
    </xf>
    <xf numFmtId="0" fontId="3" fillId="0" borderId="3" xfId="0" applyFont="1" applyFill="1" applyBorder="1"/>
    <xf numFmtId="0" fontId="0" fillId="0" borderId="0" xfId="0" applyFill="1" applyBorder="1" applyAlignment="1">
      <alignment horizontal="justify" vertical="top" wrapText="1"/>
    </xf>
    <xf numFmtId="0" fontId="7" fillId="0" borderId="0" xfId="0" applyFont="1" applyFill="1" applyBorder="1" applyAlignment="1">
      <alignment horizontal="justify" vertical="top" wrapText="1"/>
    </xf>
    <xf numFmtId="0" fontId="11" fillId="0" borderId="3" xfId="0" applyFont="1" applyFill="1" applyBorder="1" applyAlignment="1">
      <alignment horizontal="justify" vertical="top" wrapText="1"/>
    </xf>
    <xf numFmtId="0" fontId="14" fillId="0" borderId="7" xfId="0" applyFont="1" applyFill="1" applyBorder="1" applyAlignment="1">
      <alignment vertical="top" wrapText="1"/>
    </xf>
    <xf numFmtId="0" fontId="14" fillId="0" borderId="8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 wrapText="1"/>
    </xf>
    <xf numFmtId="0" fontId="14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/>
    <xf numFmtId="0" fontId="3" fillId="0" borderId="4" xfId="0" applyFont="1" applyFill="1" applyBorder="1" applyAlignment="1"/>
    <xf numFmtId="164" fontId="8" fillId="0" borderId="3" xfId="0" applyNumberFormat="1" applyFont="1" applyFill="1" applyBorder="1" applyAlignment="1"/>
    <xf numFmtId="0" fontId="15" fillId="0" borderId="0" xfId="0" applyFont="1" applyFill="1" applyBorder="1" applyAlignment="1">
      <alignment horizontal="justify" vertical="top" wrapText="1"/>
    </xf>
    <xf numFmtId="4" fontId="0" fillId="0" borderId="0" xfId="0" applyNumberFormat="1" applyFill="1" applyBorder="1"/>
    <xf numFmtId="0" fontId="18" fillId="0" borderId="0" xfId="0" applyFont="1" applyFill="1" applyBorder="1" applyAlignment="1">
      <alignment horizontal="justify" vertical="top" wrapText="1"/>
    </xf>
    <xf numFmtId="0" fontId="0" fillId="0" borderId="0" xfId="0" applyFill="1" applyBorder="1" applyAlignment="1"/>
    <xf numFmtId="0" fontId="8" fillId="0" borderId="11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/>
    <xf numFmtId="0" fontId="2" fillId="0" borderId="2" xfId="0" applyFont="1" applyFill="1" applyBorder="1"/>
    <xf numFmtId="0" fontId="20" fillId="0" borderId="11" xfId="0" applyFont="1" applyFill="1" applyBorder="1" applyAlignment="1">
      <alignment wrapText="1"/>
    </xf>
    <xf numFmtId="0" fontId="20" fillId="0" borderId="12" xfId="0" applyFont="1" applyFill="1" applyBorder="1" applyAlignment="1">
      <alignment wrapText="1"/>
    </xf>
    <xf numFmtId="0" fontId="8" fillId="0" borderId="2" xfId="0" applyFont="1" applyFill="1" applyBorder="1" applyAlignment="1">
      <alignment horizontal="justify" vertical="top" wrapText="1"/>
    </xf>
    <xf numFmtId="0" fontId="20" fillId="0" borderId="11" xfId="0" applyFont="1" applyFill="1" applyBorder="1" applyAlignment="1">
      <alignment horizontal="justify" vertical="top" wrapText="1"/>
    </xf>
    <xf numFmtId="0" fontId="20" fillId="0" borderId="12" xfId="0" applyFont="1" applyFill="1" applyBorder="1" applyAlignment="1">
      <alignment horizontal="justify" vertical="top" wrapText="1"/>
    </xf>
    <xf numFmtId="0" fontId="20" fillId="0" borderId="0" xfId="0" applyFont="1" applyFill="1" applyBorder="1" applyAlignment="1">
      <alignment vertical="top" wrapText="1"/>
    </xf>
    <xf numFmtId="0" fontId="20" fillId="0" borderId="9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vertical="top" wrapText="1"/>
    </xf>
    <xf numFmtId="0" fontId="15" fillId="0" borderId="12" xfId="0" applyFont="1" applyFill="1" applyBorder="1" applyAlignment="1">
      <alignment vertical="top" wrapText="1"/>
    </xf>
    <xf numFmtId="0" fontId="18" fillId="0" borderId="11" xfId="0" applyFont="1" applyFill="1" applyBorder="1" applyAlignment="1">
      <alignment wrapText="1"/>
    </xf>
    <xf numFmtId="0" fontId="18" fillId="0" borderId="12" xfId="0" applyFont="1" applyFill="1" applyBorder="1" applyAlignment="1">
      <alignment wrapText="1"/>
    </xf>
    <xf numFmtId="0" fontId="8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wrapText="1"/>
    </xf>
    <xf numFmtId="0" fontId="8" fillId="0" borderId="12" xfId="0" applyFont="1" applyFill="1" applyBorder="1" applyAlignment="1">
      <alignment horizontal="justify" vertical="top" wrapText="1"/>
    </xf>
    <xf numFmtId="0" fontId="16" fillId="0" borderId="11" xfId="0" applyFont="1" applyFill="1" applyBorder="1" applyAlignment="1">
      <alignment wrapText="1"/>
    </xf>
    <xf numFmtId="0" fontId="16" fillId="0" borderId="12" xfId="0" applyFont="1" applyFill="1" applyBorder="1" applyAlignment="1">
      <alignment wrapText="1"/>
    </xf>
    <xf numFmtId="0" fontId="7" fillId="0" borderId="7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vertical="top" wrapText="1"/>
    </xf>
    <xf numFmtId="0" fontId="8" fillId="0" borderId="7" xfId="0" applyFont="1" applyFill="1" applyBorder="1" applyAlignment="1">
      <alignment wrapText="1"/>
    </xf>
    <xf numFmtId="0" fontId="8" fillId="0" borderId="8" xfId="0" applyFont="1" applyFill="1" applyBorder="1" applyAlignment="1">
      <alignment wrapText="1"/>
    </xf>
    <xf numFmtId="4" fontId="3" fillId="0" borderId="4" xfId="0" applyNumberFormat="1" applyFont="1" applyFill="1" applyBorder="1" applyAlignment="1">
      <alignment horizontal="justify" vertical="top" wrapText="1"/>
    </xf>
    <xf numFmtId="0" fontId="8" fillId="0" borderId="11" xfId="0" applyFont="1" applyFill="1" applyBorder="1" applyAlignment="1">
      <alignment vertical="top" wrapText="1"/>
    </xf>
    <xf numFmtId="0" fontId="8" fillId="0" borderId="12" xfId="0" applyFont="1" applyFill="1" applyBorder="1" applyAlignment="1">
      <alignment vertical="top" wrapText="1"/>
    </xf>
    <xf numFmtId="0" fontId="11" fillId="0" borderId="11" xfId="0" applyFont="1" applyFill="1" applyBorder="1" applyAlignment="1">
      <alignment wrapText="1"/>
    </xf>
    <xf numFmtId="0" fontId="11" fillId="0" borderId="12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justify" vertical="top" wrapText="1"/>
    </xf>
    <xf numFmtId="164" fontId="3" fillId="0" borderId="15" xfId="0" applyNumberFormat="1" applyFont="1" applyFill="1" applyBorder="1" applyAlignment="1">
      <alignment horizontal="justify" vertical="top" wrapText="1"/>
    </xf>
    <xf numFmtId="0" fontId="7" fillId="0" borderId="11" xfId="0" applyFont="1" applyFill="1" applyBorder="1" applyAlignment="1">
      <alignment wrapText="1"/>
    </xf>
    <xf numFmtId="0" fontId="7" fillId="0" borderId="12" xfId="0" applyFont="1" applyFill="1" applyBorder="1" applyAlignment="1">
      <alignment wrapText="1"/>
    </xf>
    <xf numFmtId="164" fontId="3" fillId="0" borderId="10" xfId="0" applyNumberFormat="1" applyFont="1" applyFill="1" applyBorder="1" applyAlignment="1"/>
    <xf numFmtId="0" fontId="0" fillId="0" borderId="2" xfId="0" applyFill="1" applyBorder="1"/>
    <xf numFmtId="0" fontId="20" fillId="0" borderId="5" xfId="0" applyFont="1" applyFill="1" applyBorder="1" applyAlignment="1">
      <alignment vertical="top" wrapText="1"/>
    </xf>
    <xf numFmtId="0" fontId="20" fillId="0" borderId="6" xfId="0" applyFont="1" applyFill="1" applyBorder="1" applyAlignment="1">
      <alignment vertical="top" wrapText="1"/>
    </xf>
    <xf numFmtId="2" fontId="0" fillId="0" borderId="0" xfId="0" applyNumberFormat="1" applyFill="1"/>
    <xf numFmtId="0" fontId="14" fillId="0" borderId="2" xfId="0" applyFont="1" applyFill="1" applyBorder="1" applyAlignment="1">
      <alignment horizontal="justify" vertical="top" wrapText="1"/>
    </xf>
    <xf numFmtId="0" fontId="14" fillId="0" borderId="11" xfId="0" applyFont="1" applyFill="1" applyBorder="1" applyAlignment="1">
      <alignment wrapText="1"/>
    </xf>
    <xf numFmtId="0" fontId="14" fillId="0" borderId="12" xfId="0" applyFont="1" applyFill="1" applyBorder="1" applyAlignment="1">
      <alignment wrapText="1"/>
    </xf>
    <xf numFmtId="0" fontId="11" fillId="0" borderId="2" xfId="0" applyFont="1" applyFill="1" applyBorder="1" applyAlignment="1">
      <alignment horizontal="justify" vertical="top" wrapText="1"/>
    </xf>
    <xf numFmtId="164" fontId="11" fillId="0" borderId="2" xfId="0" applyNumberFormat="1" applyFont="1" applyFill="1" applyBorder="1" applyAlignment="1">
      <alignment horizontal="justify" vertical="top" wrapText="1"/>
    </xf>
    <xf numFmtId="164" fontId="3" fillId="0" borderId="16" xfId="0" applyNumberFormat="1" applyFont="1" applyFill="1" applyBorder="1" applyAlignment="1"/>
    <xf numFmtId="0" fontId="0" fillId="0" borderId="3" xfId="0" applyFill="1" applyBorder="1" applyAlignment="1"/>
    <xf numFmtId="0" fontId="8" fillId="0" borderId="37" xfId="0" applyFont="1" applyFill="1" applyBorder="1" applyAlignment="1">
      <alignment horizontal="justify" vertical="top" wrapText="1"/>
    </xf>
    <xf numFmtId="164" fontId="8" fillId="0" borderId="37" xfId="0" applyNumberFormat="1" applyFont="1" applyFill="1" applyBorder="1" applyAlignment="1">
      <alignment horizontal="justify" vertical="top" wrapText="1"/>
    </xf>
    <xf numFmtId="0" fontId="8" fillId="0" borderId="38" xfId="0" applyFont="1" applyFill="1" applyBorder="1" applyAlignment="1">
      <alignment horizontal="justify" vertical="top" wrapText="1"/>
    </xf>
    <xf numFmtId="0" fontId="16" fillId="0" borderId="37" xfId="0" applyFont="1" applyFill="1" applyBorder="1" applyAlignment="1">
      <alignment horizontal="justify" vertical="top" wrapText="1"/>
    </xf>
    <xf numFmtId="164" fontId="11" fillId="0" borderId="37" xfId="0" applyNumberFormat="1" applyFont="1" applyFill="1" applyBorder="1" applyAlignment="1">
      <alignment horizontal="justify" vertical="top" wrapText="1"/>
    </xf>
    <xf numFmtId="0" fontId="11" fillId="0" borderId="38" xfId="0" applyFont="1" applyFill="1" applyBorder="1" applyAlignment="1">
      <alignment horizontal="justify" vertical="top" wrapText="1"/>
    </xf>
    <xf numFmtId="0" fontId="1" fillId="0" borderId="0" xfId="0" applyFont="1" applyFill="1"/>
    <xf numFmtId="0" fontId="8" fillId="0" borderId="16" xfId="0" applyFont="1" applyFill="1" applyBorder="1" applyAlignment="1">
      <alignment horizontal="justify" vertical="top" wrapText="1"/>
    </xf>
    <xf numFmtId="0" fontId="2" fillId="0" borderId="16" xfId="0" applyFont="1" applyFill="1" applyBorder="1"/>
    <xf numFmtId="164" fontId="2" fillId="0" borderId="37" xfId="0" applyNumberFormat="1" applyFont="1" applyFill="1" applyBorder="1"/>
    <xf numFmtId="0" fontId="2" fillId="0" borderId="38" xfId="0" applyFont="1" applyFill="1" applyBorder="1"/>
    <xf numFmtId="0" fontId="1" fillId="0" borderId="0" xfId="0" applyFont="1" applyFill="1" applyBorder="1"/>
    <xf numFmtId="0" fontId="29" fillId="0" borderId="0" xfId="0" applyFont="1" applyFill="1"/>
    <xf numFmtId="164" fontId="3" fillId="0" borderId="0" xfId="0" applyNumberFormat="1" applyFont="1" applyFill="1" applyBorder="1" applyAlignment="1"/>
    <xf numFmtId="164" fontId="0" fillId="0" borderId="0" xfId="0" applyNumberFormat="1" applyFill="1"/>
    <xf numFmtId="0" fontId="0" fillId="0" borderId="10" xfId="0" applyFill="1" applyBorder="1"/>
    <xf numFmtId="0" fontId="0" fillId="0" borderId="23" xfId="0" applyFill="1" applyBorder="1"/>
    <xf numFmtId="164" fontId="0" fillId="0" borderId="23" xfId="0" applyNumberFormat="1" applyFill="1" applyBorder="1"/>
    <xf numFmtId="0" fontId="0" fillId="0" borderId="23" xfId="0" applyFill="1" applyBorder="1" applyAlignment="1">
      <alignment horizontal="right"/>
    </xf>
    <xf numFmtId="0" fontId="0" fillId="0" borderId="4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164" fontId="3" fillId="0" borderId="4" xfId="0" applyNumberFormat="1" applyFont="1" applyFill="1" applyBorder="1" applyAlignment="1"/>
    <xf numFmtId="4" fontId="0" fillId="0" borderId="0" xfId="0" applyNumberFormat="1" applyFill="1"/>
    <xf numFmtId="164" fontId="1" fillId="0" borderId="0" xfId="0" applyNumberFormat="1" applyFont="1" applyFill="1"/>
    <xf numFmtId="0" fontId="7" fillId="0" borderId="4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1" fillId="0" borderId="23" xfId="0" applyFont="1" applyFill="1" applyBorder="1"/>
    <xf numFmtId="164" fontId="0" fillId="0" borderId="10" xfId="0" applyNumberFormat="1" applyFill="1" applyBorder="1"/>
    <xf numFmtId="164" fontId="0" fillId="0" borderId="4" xfId="0" applyNumberFormat="1" applyFill="1" applyBorder="1"/>
    <xf numFmtId="164" fontId="0" fillId="0" borderId="0" xfId="0" applyNumberFormat="1" applyFill="1" applyBorder="1"/>
    <xf numFmtId="0" fontId="1" fillId="0" borderId="10" xfId="0" applyFont="1" applyFill="1" applyBorder="1"/>
    <xf numFmtId="164" fontId="33" fillId="0" borderId="0" xfId="0" applyNumberFormat="1" applyFont="1" applyFill="1"/>
    <xf numFmtId="0" fontId="33" fillId="0" borderId="0" xfId="0" applyFont="1" applyFill="1"/>
    <xf numFmtId="164" fontId="2" fillId="0" borderId="0" xfId="0" applyNumberFormat="1" applyFont="1" applyFill="1" applyBorder="1" applyAlignment="1">
      <alignment horizontal="center"/>
    </xf>
    <xf numFmtId="164" fontId="34" fillId="0" borderId="11" xfId="0" applyNumberFormat="1" applyFont="1" applyFill="1" applyBorder="1" applyAlignment="1">
      <alignment horizontal="justify" vertical="top" wrapText="1"/>
    </xf>
    <xf numFmtId="0" fontId="34" fillId="0" borderId="11" xfId="0" applyFont="1" applyFill="1" applyBorder="1" applyAlignment="1">
      <alignment horizontal="justify" vertical="top" wrapText="1"/>
    </xf>
    <xf numFmtId="164" fontId="35" fillId="0" borderId="7" xfId="0" applyNumberFormat="1" applyFont="1" applyFill="1" applyBorder="1" applyAlignment="1">
      <alignment horizontal="justify" vertical="top" wrapText="1"/>
    </xf>
    <xf numFmtId="0" fontId="35" fillId="0" borderId="7" xfId="0" applyFont="1" applyFill="1" applyBorder="1" applyAlignment="1">
      <alignment horizontal="justify" vertical="top" wrapText="1"/>
    </xf>
    <xf numFmtId="4" fontId="33" fillId="0" borderId="0" xfId="0" applyNumberFormat="1" applyFont="1" applyFill="1" applyBorder="1"/>
    <xf numFmtId="0" fontId="33" fillId="0" borderId="0" xfId="0" applyFont="1" applyFill="1" applyBorder="1"/>
    <xf numFmtId="4" fontId="33" fillId="0" borderId="0" xfId="0" applyNumberFormat="1" applyFont="1" applyFill="1"/>
    <xf numFmtId="0" fontId="8" fillId="0" borderId="3" xfId="0" applyFont="1" applyFill="1" applyBorder="1" applyAlignment="1">
      <alignment horizontal="right" wrapText="1"/>
    </xf>
    <xf numFmtId="0" fontId="1" fillId="0" borderId="4" xfId="0" applyFont="1" applyFill="1" applyBorder="1"/>
    <xf numFmtId="0" fontId="1" fillId="0" borderId="23" xfId="0" applyFont="1" applyFill="1" applyBorder="1" applyAlignment="1">
      <alignment horizontal="center"/>
    </xf>
    <xf numFmtId="164" fontId="33" fillId="0" borderId="0" xfId="0" applyNumberFormat="1" applyFont="1" applyFill="1" applyBorder="1"/>
    <xf numFmtId="164" fontId="7" fillId="0" borderId="2" xfId="0" applyNumberFormat="1" applyFont="1" applyFill="1" applyBorder="1" applyAlignment="1">
      <alignment horizontal="right" vertical="top" wrapText="1"/>
    </xf>
    <xf numFmtId="164" fontId="7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/>
    <xf numFmtId="164" fontId="7" fillId="0" borderId="3" xfId="0" applyNumberFormat="1" applyFont="1" applyFill="1" applyBorder="1"/>
    <xf numFmtId="164" fontId="7" fillId="0" borderId="3" xfId="0" applyNumberFormat="1" applyFont="1" applyFill="1" applyBorder="1" applyAlignment="1">
      <alignment horizontal="justify" wrapText="1"/>
    </xf>
    <xf numFmtId="164" fontId="7" fillId="0" borderId="3" xfId="0" applyNumberFormat="1" applyFont="1" applyFill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right" vertical="top" wrapText="1"/>
    </xf>
    <xf numFmtId="164" fontId="7" fillId="0" borderId="37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justify" vertical="top" wrapText="1"/>
    </xf>
    <xf numFmtId="164" fontId="7" fillId="0" borderId="2" xfId="0" applyNumberFormat="1" applyFont="1" applyFill="1" applyBorder="1" applyAlignment="1">
      <alignment vertical="top" wrapText="1"/>
    </xf>
    <xf numFmtId="0" fontId="23" fillId="0" borderId="2" xfId="0" applyFont="1" applyFill="1" applyBorder="1" applyAlignment="1">
      <alignment vertical="top" wrapText="1"/>
    </xf>
    <xf numFmtId="164" fontId="7" fillId="0" borderId="16" xfId="0" applyNumberFormat="1" applyFont="1" applyFill="1" applyBorder="1" applyAlignment="1"/>
    <xf numFmtId="164" fontId="2" fillId="0" borderId="16" xfId="0" applyNumberFormat="1" applyFont="1" applyFill="1" applyBorder="1" applyAlignment="1"/>
    <xf numFmtId="164" fontId="2" fillId="0" borderId="2" xfId="0" applyNumberFormat="1" applyFont="1" applyFill="1" applyBorder="1" applyAlignment="1">
      <alignment horizontal="right" vertical="top" wrapText="1"/>
    </xf>
    <xf numFmtId="164" fontId="2" fillId="0" borderId="4" xfId="0" applyNumberFormat="1" applyFont="1" applyFill="1" applyBorder="1" applyAlignment="1">
      <alignment horizontal="right" vertical="top" wrapText="1"/>
    </xf>
    <xf numFmtId="164" fontId="7" fillId="0" borderId="4" xfId="0" applyNumberFormat="1" applyFont="1" applyFill="1" applyBorder="1" applyAlignment="1">
      <alignment horizontal="right" wrapText="1"/>
    </xf>
    <xf numFmtId="164" fontId="7" fillId="0" borderId="4" xfId="0" applyNumberFormat="1" applyFont="1" applyFill="1" applyBorder="1" applyAlignment="1">
      <alignment horizontal="right" vertical="top" wrapText="1"/>
    </xf>
    <xf numFmtId="164" fontId="2" fillId="0" borderId="29" xfId="0" applyNumberFormat="1" applyFont="1" applyFill="1" applyBorder="1" applyAlignment="1">
      <alignment horizontal="right" vertical="top" wrapText="1"/>
    </xf>
    <xf numFmtId="164" fontId="7" fillId="0" borderId="15" xfId="0" applyNumberFormat="1" applyFont="1" applyFill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justify" vertical="top" wrapText="1"/>
    </xf>
    <xf numFmtId="4" fontId="2" fillId="0" borderId="2" xfId="0" applyNumberFormat="1" applyFont="1" applyFill="1" applyBorder="1" applyAlignment="1"/>
    <xf numFmtId="0" fontId="11" fillId="0" borderId="37" xfId="0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justify" wrapText="1"/>
    </xf>
    <xf numFmtId="0" fontId="8" fillId="0" borderId="45" xfId="0" applyFont="1" applyFill="1" applyBorder="1" applyAlignment="1"/>
    <xf numFmtId="164" fontId="7" fillId="0" borderId="45" xfId="0" applyNumberFormat="1" applyFont="1" applyFill="1" applyBorder="1" applyAlignment="1"/>
    <xf numFmtId="0" fontId="14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/>
    <xf numFmtId="0" fontId="0" fillId="0" borderId="37" xfId="0" applyFill="1" applyBorder="1"/>
    <xf numFmtId="164" fontId="7" fillId="0" borderId="37" xfId="0" applyNumberFormat="1" applyFont="1" applyFill="1" applyBorder="1"/>
    <xf numFmtId="164" fontId="12" fillId="0" borderId="37" xfId="0" applyNumberFormat="1" applyFont="1" applyFill="1" applyBorder="1"/>
    <xf numFmtId="0" fontId="0" fillId="0" borderId="38" xfId="0" applyFill="1" applyBorder="1"/>
    <xf numFmtId="164" fontId="7" fillId="0" borderId="16" xfId="0" applyNumberFormat="1" applyFont="1" applyFill="1" applyBorder="1" applyAlignment="1">
      <alignment horizontal="justify" vertical="top" wrapText="1"/>
    </xf>
    <xf numFmtId="164" fontId="8" fillId="0" borderId="16" xfId="0" applyNumberFormat="1" applyFont="1" applyFill="1" applyBorder="1" applyAlignment="1">
      <alignment horizontal="justify" vertical="top" wrapText="1"/>
    </xf>
    <xf numFmtId="0" fontId="14" fillId="0" borderId="37" xfId="0" applyFont="1" applyFill="1" applyBorder="1" applyAlignment="1">
      <alignment horizontal="justify" vertical="top" wrapText="1"/>
    </xf>
    <xf numFmtId="164" fontId="14" fillId="0" borderId="37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wrapText="1"/>
    </xf>
    <xf numFmtId="164" fontId="7" fillId="0" borderId="27" xfId="0" applyNumberFormat="1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44" xfId="0" applyFont="1" applyFill="1" applyBorder="1"/>
    <xf numFmtId="164" fontId="7" fillId="0" borderId="15" xfId="0" applyNumberFormat="1" applyFont="1" applyFill="1" applyBorder="1" applyAlignment="1">
      <alignment horizontal="right" wrapText="1"/>
    </xf>
    <xf numFmtId="164" fontId="3" fillId="0" borderId="29" xfId="0" applyNumberFormat="1" applyFont="1" applyFill="1" applyBorder="1" applyAlignment="1">
      <alignment horizontal="justify" vertical="top" wrapText="1"/>
    </xf>
    <xf numFmtId="164" fontId="3" fillId="0" borderId="19" xfId="0" applyNumberFormat="1" applyFont="1" applyFill="1" applyBorder="1" applyAlignment="1"/>
    <xf numFmtId="0" fontId="14" fillId="0" borderId="1" xfId="0" applyFont="1" applyFill="1" applyBorder="1" applyAlignment="1">
      <alignment horizontal="justify" vertical="center" wrapText="1"/>
    </xf>
    <xf numFmtId="0" fontId="21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/>
    <xf numFmtId="0" fontId="8" fillId="0" borderId="37" xfId="0" applyFont="1" applyFill="1" applyBorder="1" applyAlignment="1">
      <alignment horizontal="right" wrapText="1"/>
    </xf>
    <xf numFmtId="164" fontId="7" fillId="0" borderId="37" xfId="0" applyNumberFormat="1" applyFont="1" applyFill="1" applyBorder="1" applyAlignment="1">
      <alignment horizontal="right" wrapText="1"/>
    </xf>
    <xf numFmtId="0" fontId="14" fillId="0" borderId="29" xfId="0" applyFont="1" applyFill="1" applyBorder="1" applyAlignment="1">
      <alignment horizontal="justify" vertical="center" wrapText="1"/>
    </xf>
    <xf numFmtId="0" fontId="14" fillId="0" borderId="4" xfId="0" applyFont="1" applyFill="1" applyBorder="1" applyAlignment="1">
      <alignment horizontal="justify" vertical="top" wrapText="1"/>
    </xf>
    <xf numFmtId="164" fontId="7" fillId="0" borderId="45" xfId="0" applyNumberFormat="1" applyFont="1" applyFill="1" applyBorder="1" applyAlignment="1">
      <alignment horizontal="right" vertical="top" wrapText="1"/>
    </xf>
    <xf numFmtId="0" fontId="14" fillId="0" borderId="43" xfId="0" applyFont="1" applyFill="1" applyBorder="1" applyAlignment="1">
      <alignment horizontal="justify" vertical="center" wrapText="1"/>
    </xf>
    <xf numFmtId="0" fontId="21" fillId="0" borderId="43" xfId="0" applyFont="1" applyFill="1" applyBorder="1" applyAlignment="1">
      <alignment horizontal="justify" vertical="center" wrapText="1"/>
    </xf>
    <xf numFmtId="0" fontId="2" fillId="0" borderId="43" xfId="0" applyFont="1" applyFill="1" applyBorder="1" applyAlignment="1">
      <alignment vertical="center" wrapText="1"/>
    </xf>
    <xf numFmtId="0" fontId="2" fillId="0" borderId="53" xfId="0" applyFont="1" applyFill="1" applyBorder="1"/>
    <xf numFmtId="0" fontId="14" fillId="0" borderId="45" xfId="0" applyFont="1" applyFill="1" applyBorder="1" applyAlignment="1">
      <alignment horizontal="justify" vertical="top" wrapText="1"/>
    </xf>
    <xf numFmtId="164" fontId="7" fillId="0" borderId="45" xfId="0" applyNumberFormat="1" applyFont="1" applyFill="1" applyBorder="1" applyAlignment="1">
      <alignment vertical="top"/>
    </xf>
    <xf numFmtId="0" fontId="2" fillId="0" borderId="0" xfId="0" applyFont="1" applyFill="1" applyBorder="1"/>
    <xf numFmtId="4" fontId="0" fillId="0" borderId="0" xfId="0" applyNumberFormat="1"/>
    <xf numFmtId="4" fontId="0" fillId="2" borderId="0" xfId="0" applyNumberFormat="1" applyFill="1"/>
    <xf numFmtId="0" fontId="3" fillId="0" borderId="3" xfId="0" applyFont="1" applyFill="1" applyBorder="1" applyAlignment="1"/>
    <xf numFmtId="0" fontId="3" fillId="0" borderId="1" xfId="0" applyFont="1" applyFill="1" applyBorder="1" applyAlignment="1"/>
    <xf numFmtId="0" fontId="9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22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justify" vertical="top" wrapText="1"/>
    </xf>
    <xf numFmtId="0" fontId="0" fillId="0" borderId="2" xfId="0" applyFill="1" applyBorder="1" applyAlignment="1"/>
    <xf numFmtId="0" fontId="0" fillId="0" borderId="2" xfId="0" applyFill="1" applyBorder="1" applyAlignment="1">
      <alignment wrapText="1"/>
    </xf>
    <xf numFmtId="0" fontId="2" fillId="0" borderId="2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justify"/>
    </xf>
    <xf numFmtId="0" fontId="2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/>
    <xf numFmtId="0" fontId="3" fillId="0" borderId="2" xfId="0" applyFont="1" applyFill="1" applyBorder="1" applyAlignment="1"/>
    <xf numFmtId="164" fontId="0" fillId="0" borderId="2" xfId="0" applyNumberFormat="1" applyFill="1" applyBorder="1"/>
    <xf numFmtId="164" fontId="1" fillId="0" borderId="0" xfId="0" applyNumberFormat="1" applyFont="1" applyFill="1" applyBorder="1"/>
    <xf numFmtId="0" fontId="3" fillId="0" borderId="2" xfId="0" applyFont="1" applyFill="1" applyBorder="1" applyAlignment="1"/>
    <xf numFmtId="0" fontId="3" fillId="0" borderId="2" xfId="0" applyFont="1" applyFill="1" applyBorder="1" applyAlignment="1"/>
    <xf numFmtId="0" fontId="3" fillId="0" borderId="2" xfId="0" applyFont="1" applyFill="1" applyBorder="1" applyAlignment="1"/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3" fillId="3" borderId="0" xfId="0" applyFont="1" applyFill="1" applyBorder="1" applyAlignment="1">
      <alignment horizontal="center" vertical="center" wrapText="1"/>
    </xf>
    <xf numFmtId="0" fontId="1" fillId="4" borderId="0" xfId="0" applyFont="1" applyFill="1" applyBorder="1"/>
    <xf numFmtId="0" fontId="0" fillId="4" borderId="0" xfId="0" applyFill="1" applyBorder="1"/>
    <xf numFmtId="0" fontId="0" fillId="5" borderId="10" xfId="0" applyFill="1" applyBorder="1"/>
    <xf numFmtId="0" fontId="0" fillId="5" borderId="23" xfId="0" applyFill="1" applyBorder="1"/>
    <xf numFmtId="0" fontId="0" fillId="5" borderId="4" xfId="0" applyFill="1" applyBorder="1"/>
    <xf numFmtId="0" fontId="8" fillId="3" borderId="0" xfId="0" applyFont="1" applyFill="1" applyBorder="1" applyAlignment="1">
      <alignment horizontal="justify" vertical="top" wrapText="1"/>
    </xf>
    <xf numFmtId="164" fontId="0" fillId="3" borderId="0" xfId="0" applyNumberFormat="1" applyFill="1" applyBorder="1"/>
    <xf numFmtId="164" fontId="1" fillId="3" borderId="14" xfId="0" applyNumberFormat="1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justify" vertical="top" wrapText="1"/>
    </xf>
    <xf numFmtId="164" fontId="7" fillId="3" borderId="27" xfId="0" applyNumberFormat="1" applyFont="1" applyFill="1" applyBorder="1" applyAlignment="1">
      <alignment horizontal="right" wrapText="1"/>
    </xf>
    <xf numFmtId="164" fontId="8" fillId="3" borderId="16" xfId="0" applyNumberFormat="1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justify" vertical="top" wrapText="1"/>
    </xf>
    <xf numFmtId="164" fontId="0" fillId="4" borderId="10" xfId="0" applyNumberFormat="1" applyFill="1" applyBorder="1"/>
    <xf numFmtId="164" fontId="0" fillId="4" borderId="4" xfId="0" applyNumberFormat="1" applyFill="1" applyBorder="1"/>
    <xf numFmtId="0" fontId="3" fillId="0" borderId="2" xfId="0" applyFont="1" applyFill="1" applyBorder="1" applyAlignment="1"/>
    <xf numFmtId="0" fontId="3" fillId="0" borderId="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left" wrapText="1"/>
    </xf>
    <xf numFmtId="0" fontId="9" fillId="0" borderId="40" xfId="0" applyFont="1" applyFill="1" applyBorder="1" applyAlignment="1">
      <alignment horizontal="left" wrapText="1"/>
    </xf>
    <xf numFmtId="0" fontId="14" fillId="0" borderId="32" xfId="0" applyFont="1" applyFill="1" applyBorder="1" applyAlignment="1">
      <alignment horizontal="justify" vertical="top" wrapText="1"/>
    </xf>
    <xf numFmtId="0" fontId="22" fillId="0" borderId="11" xfId="0" applyFont="1" applyFill="1" applyBorder="1" applyAlignment="1">
      <alignment horizontal="justify" vertical="top" wrapText="1"/>
    </xf>
    <xf numFmtId="0" fontId="22" fillId="0" borderId="12" xfId="0" applyFont="1" applyFill="1" applyBorder="1" applyAlignment="1">
      <alignment horizontal="justify" vertical="top" wrapText="1"/>
    </xf>
    <xf numFmtId="0" fontId="3" fillId="0" borderId="16" xfId="0" applyFont="1" applyFill="1" applyBorder="1" applyAlignment="1">
      <alignment horizontal="justify" wrapText="1"/>
    </xf>
    <xf numFmtId="0" fontId="2" fillId="0" borderId="2" xfId="0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16" xfId="0" applyFont="1" applyFill="1" applyBorder="1" applyAlignment="1">
      <alignment horizontal="center" wrapText="1"/>
    </xf>
    <xf numFmtId="164" fontId="7" fillId="0" borderId="3" xfId="0" applyNumberFormat="1" applyFont="1" applyFill="1" applyBorder="1" applyAlignment="1">
      <alignment horizontal="right" wrapText="1"/>
    </xf>
    <xf numFmtId="0" fontId="7" fillId="0" borderId="16" xfId="0" applyFont="1" applyFill="1" applyBorder="1" applyAlignment="1">
      <alignment horizontal="right" wrapText="1"/>
    </xf>
    <xf numFmtId="0" fontId="9" fillId="0" borderId="13" xfId="0" applyFont="1" applyFill="1" applyBorder="1" applyAlignment="1">
      <alignment horizontal="justify" vertical="top" wrapText="1"/>
    </xf>
    <xf numFmtId="0" fontId="9" fillId="0" borderId="22" xfId="0" applyFont="1" applyFill="1" applyBorder="1" applyAlignment="1">
      <alignment horizontal="justify" vertical="top" wrapText="1"/>
    </xf>
    <xf numFmtId="164" fontId="7" fillId="0" borderId="13" xfId="0" applyNumberFormat="1" applyFont="1" applyFill="1" applyBorder="1" applyAlignment="1">
      <alignment horizontal="right" vertical="top" wrapText="1"/>
    </xf>
    <xf numFmtId="0" fontId="7" fillId="0" borderId="22" xfId="0" applyFont="1" applyFill="1" applyBorder="1" applyAlignment="1">
      <alignment horizontal="right" vertical="top" wrapText="1"/>
    </xf>
    <xf numFmtId="49" fontId="3" fillId="0" borderId="2" xfId="0" applyNumberFormat="1" applyFont="1" applyFill="1" applyBorder="1" applyAlignment="1"/>
    <xf numFmtId="0" fontId="10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justify" wrapText="1"/>
    </xf>
    <xf numFmtId="0" fontId="9" fillId="0" borderId="3" xfId="0" applyFont="1" applyFill="1" applyBorder="1" applyAlignment="1">
      <alignment horizontal="justify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3" xfId="0" applyFont="1" applyFill="1" applyBorder="1" applyAlignment="1"/>
    <xf numFmtId="0" fontId="3" fillId="0" borderId="1" xfId="0" applyFont="1" applyFill="1" applyBorder="1" applyAlignment="1"/>
    <xf numFmtId="0" fontId="2" fillId="0" borderId="3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0" fillId="0" borderId="2" xfId="0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justify" wrapText="1"/>
    </xf>
    <xf numFmtId="0" fontId="0" fillId="0" borderId="10" xfId="0" applyFill="1" applyBorder="1" applyAlignment="1"/>
    <xf numFmtId="0" fontId="7" fillId="0" borderId="2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9" fillId="0" borderId="3" xfId="0" applyFont="1" applyFill="1" applyBorder="1" applyAlignment="1">
      <alignment wrapText="1"/>
    </xf>
    <xf numFmtId="0" fontId="10" fillId="0" borderId="1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4" fillId="0" borderId="3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justify" wrapText="1"/>
    </xf>
    <xf numFmtId="49" fontId="22" fillId="0" borderId="16" xfId="0" applyNumberFormat="1" applyFont="1" applyFill="1" applyBorder="1" applyAlignment="1"/>
    <xf numFmtId="0" fontId="2" fillId="0" borderId="2" xfId="0" applyFont="1" applyFill="1" applyBorder="1" applyAlignment="1">
      <alignment horizontal="justify" vertical="top" wrapText="1"/>
    </xf>
    <xf numFmtId="0" fontId="9" fillId="0" borderId="2" xfId="0" applyFont="1" applyFill="1" applyBorder="1" applyAlignment="1"/>
    <xf numFmtId="0" fontId="7" fillId="0" borderId="2" xfId="0" applyFont="1" applyFill="1" applyBorder="1" applyAlignment="1">
      <alignment horizontal="left" vertical="top" wrapText="1"/>
    </xf>
    <xf numFmtId="0" fontId="3" fillId="0" borderId="18" xfId="0" applyFont="1" applyFill="1" applyBorder="1" applyAlignment="1">
      <alignment horizontal="justify" wrapText="1"/>
    </xf>
    <xf numFmtId="49" fontId="3" fillId="0" borderId="3" xfId="0" applyNumberFormat="1" applyFont="1" applyFill="1" applyBorder="1" applyAlignment="1"/>
    <xf numFmtId="49" fontId="3" fillId="0" borderId="16" xfId="0" applyNumberFormat="1" applyFont="1" applyFill="1" applyBorder="1" applyAlignment="1"/>
    <xf numFmtId="49" fontId="3" fillId="0" borderId="2" xfId="0" applyNumberFormat="1" applyFont="1" applyFill="1" applyBorder="1" applyAlignment="1">
      <alignment horizontal="justify" wrapText="1"/>
    </xf>
    <xf numFmtId="49" fontId="22" fillId="0" borderId="2" xfId="0" applyNumberFormat="1" applyFont="1" applyFill="1" applyBorder="1" applyAlignment="1"/>
    <xf numFmtId="49" fontId="3" fillId="0" borderId="10" xfId="0" applyNumberFormat="1" applyFont="1" applyFill="1" applyBorder="1" applyAlignment="1"/>
    <xf numFmtId="49" fontId="3" fillId="0" borderId="13" xfId="0" applyNumberFormat="1" applyFont="1" applyFill="1" applyBorder="1" applyAlignment="1"/>
    <xf numFmtId="49" fontId="3" fillId="0" borderId="19" xfId="0" applyNumberFormat="1" applyFont="1" applyFill="1" applyBorder="1" applyAlignment="1"/>
    <xf numFmtId="0" fontId="7" fillId="0" borderId="32" xfId="0" applyFont="1" applyFill="1" applyBorder="1" applyAlignment="1">
      <alignment horizontal="justify" wrapText="1"/>
    </xf>
    <xf numFmtId="0" fontId="9" fillId="0" borderId="11" xfId="0" applyFont="1" applyFill="1" applyBorder="1" applyAlignment="1">
      <alignment horizontal="justify" wrapText="1"/>
    </xf>
    <xf numFmtId="0" fontId="9" fillId="0" borderId="40" xfId="0" applyFont="1" applyFill="1" applyBorder="1" applyAlignment="1">
      <alignment horizontal="justify" wrapText="1"/>
    </xf>
    <xf numFmtId="0" fontId="7" fillId="0" borderId="32" xfId="0" applyFont="1" applyFill="1" applyBorder="1" applyAlignment="1">
      <alignment horizontal="justify" vertical="top" wrapText="1"/>
    </xf>
    <xf numFmtId="0" fontId="0" fillId="0" borderId="11" xfId="0" applyFill="1" applyBorder="1" applyAlignment="1">
      <alignment horizontal="justify" vertical="top" wrapText="1"/>
    </xf>
    <xf numFmtId="0" fontId="0" fillId="0" borderId="12" xfId="0" applyFill="1" applyBorder="1" applyAlignment="1">
      <alignment horizontal="justify" vertical="top" wrapText="1"/>
    </xf>
    <xf numFmtId="0" fontId="2" fillId="0" borderId="34" xfId="0" applyFont="1" applyFill="1" applyBorder="1" applyAlignment="1">
      <alignment horizontal="justify" wrapText="1"/>
    </xf>
    <xf numFmtId="0" fontId="9" fillId="0" borderId="35" xfId="0" applyFont="1" applyFill="1" applyBorder="1" applyAlignment="1">
      <alignment horizontal="justify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justify" wrapText="1"/>
    </xf>
    <xf numFmtId="0" fontId="9" fillId="0" borderId="1" xfId="0" applyFont="1" applyFill="1" applyBorder="1" applyAlignment="1">
      <alignment horizontal="justify" wrapText="1"/>
    </xf>
    <xf numFmtId="0" fontId="7" fillId="0" borderId="2" xfId="0" applyFont="1" applyFill="1" applyBorder="1" applyAlignment="1"/>
    <xf numFmtId="0" fontId="7" fillId="0" borderId="16" xfId="0" applyFont="1" applyFill="1" applyBorder="1" applyAlignment="1"/>
    <xf numFmtId="0" fontId="3" fillId="0" borderId="2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7" fillId="0" borderId="36" xfId="0" applyFont="1" applyFill="1" applyBorder="1" applyAlignment="1">
      <alignment horizontal="justify" wrapText="1"/>
    </xf>
    <xf numFmtId="0" fontId="9" fillId="0" borderId="37" xfId="0" applyFont="1" applyFill="1" applyBorder="1" applyAlignment="1">
      <alignment horizontal="justify" wrapText="1"/>
    </xf>
    <xf numFmtId="0" fontId="25" fillId="0" borderId="1" xfId="0" applyFont="1" applyFill="1" applyBorder="1" applyAlignment="1">
      <alignment vertical="top" wrapText="1"/>
    </xf>
    <xf numFmtId="0" fontId="27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0" fontId="2" fillId="0" borderId="3" xfId="0" applyFont="1" applyFill="1" applyBorder="1" applyAlignment="1">
      <alignment horizontal="justify" vertical="center" wrapText="1"/>
    </xf>
    <xf numFmtId="0" fontId="0" fillId="0" borderId="16" xfId="0" applyFill="1" applyBorder="1" applyAlignment="1">
      <alignment horizontal="justify" vertical="center" wrapText="1"/>
    </xf>
    <xf numFmtId="0" fontId="0" fillId="0" borderId="1" xfId="0" applyFill="1" applyBorder="1" applyAlignment="1">
      <alignment horizontal="justify" vertical="center" wrapText="1"/>
    </xf>
    <xf numFmtId="49" fontId="3" fillId="0" borderId="3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0" fontId="7" fillId="0" borderId="42" xfId="0" applyFont="1" applyFill="1" applyBorder="1" applyAlignment="1">
      <alignment horizontal="left" wrapText="1"/>
    </xf>
    <xf numFmtId="0" fontId="0" fillId="0" borderId="14" xfId="0" applyFill="1" applyBorder="1" applyAlignment="1">
      <alignment horizontal="left" wrapText="1"/>
    </xf>
    <xf numFmtId="0" fontId="0" fillId="0" borderId="15" xfId="0" applyFill="1" applyBorder="1" applyAlignment="1">
      <alignment horizontal="left" wrapText="1"/>
    </xf>
    <xf numFmtId="0" fontId="2" fillId="0" borderId="16" xfId="0" applyFont="1" applyFill="1" applyBorder="1" applyAlignment="1">
      <alignment horizontal="justify" wrapText="1"/>
    </xf>
    <xf numFmtId="0" fontId="0" fillId="0" borderId="3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14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horizontal="justify" wrapText="1"/>
    </xf>
    <xf numFmtId="0" fontId="0" fillId="0" borderId="16" xfId="0" applyFill="1" applyBorder="1" applyAlignment="1"/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16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9" fillId="0" borderId="11" xfId="0" applyFont="1" applyFill="1" applyBorder="1" applyAlignment="1">
      <alignment horizontal="justify" vertical="top" wrapText="1"/>
    </xf>
    <xf numFmtId="0" fontId="14" fillId="0" borderId="32" xfId="0" applyFont="1" applyFill="1" applyBorder="1" applyAlignment="1">
      <alignment horizontal="left" wrapText="1"/>
    </xf>
    <xf numFmtId="0" fontId="14" fillId="0" borderId="11" xfId="0" applyFont="1" applyFill="1" applyBorder="1" applyAlignment="1">
      <alignment horizontal="left" wrapText="1"/>
    </xf>
    <xf numFmtId="0" fontId="7" fillId="0" borderId="32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9" fillId="0" borderId="12" xfId="0" applyFont="1" applyFill="1" applyBorder="1" applyAlignment="1">
      <alignment wrapText="1"/>
    </xf>
    <xf numFmtId="0" fontId="3" fillId="0" borderId="10" xfId="0" applyFont="1" applyFill="1" applyBorder="1" applyAlignment="1">
      <alignment horizontal="justify" wrapText="1"/>
    </xf>
    <xf numFmtId="0" fontId="1" fillId="0" borderId="10" xfId="0" applyFont="1" applyFill="1" applyBorder="1" applyAlignment="1"/>
    <xf numFmtId="49" fontId="10" fillId="0" borderId="3" xfId="0" applyNumberFormat="1" applyFont="1" applyFill="1" applyBorder="1" applyAlignment="1">
      <alignment horizontal="justify" wrapText="1"/>
    </xf>
    <xf numFmtId="49" fontId="0" fillId="0" borderId="16" xfId="0" applyNumberFormat="1" applyFill="1" applyBorder="1" applyAlignment="1"/>
    <xf numFmtId="49" fontId="0" fillId="0" borderId="1" xfId="0" applyNumberFormat="1" applyFill="1" applyBorder="1" applyAlignment="1"/>
    <xf numFmtId="0" fontId="0" fillId="0" borderId="2" xfId="0" applyFill="1" applyBorder="1" applyAlignment="1">
      <alignment horizontal="justify" vertical="top" wrapText="1"/>
    </xf>
    <xf numFmtId="0" fontId="0" fillId="0" borderId="17" xfId="0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top" wrapText="1"/>
    </xf>
    <xf numFmtId="0" fontId="9" fillId="0" borderId="3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vertical="top" wrapText="1"/>
    </xf>
    <xf numFmtId="0" fontId="7" fillId="0" borderId="31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9" fillId="0" borderId="8" xfId="0" applyFont="1" applyFill="1" applyBorder="1" applyAlignment="1">
      <alignment wrapText="1"/>
    </xf>
    <xf numFmtId="49" fontId="10" fillId="0" borderId="2" xfId="0" applyNumberFormat="1" applyFont="1" applyFill="1" applyBorder="1" applyAlignment="1">
      <alignment horizontal="justify" wrapText="1"/>
    </xf>
    <xf numFmtId="49" fontId="0" fillId="0" borderId="2" xfId="0" applyNumberFormat="1" applyFill="1" applyBorder="1" applyAlignment="1"/>
    <xf numFmtId="0" fontId="7" fillId="0" borderId="3" xfId="0" applyFont="1" applyFill="1" applyBorder="1" applyAlignment="1">
      <alignment horizontal="justify" vertical="top" wrapText="1"/>
    </xf>
    <xf numFmtId="49" fontId="10" fillId="0" borderId="10" xfId="0" applyNumberFormat="1" applyFont="1" applyFill="1" applyBorder="1" applyAlignment="1">
      <alignment horizontal="justify" wrapText="1"/>
    </xf>
    <xf numFmtId="49" fontId="0" fillId="0" borderId="10" xfId="0" applyNumberFormat="1" applyFill="1" applyBorder="1" applyAlignment="1"/>
    <xf numFmtId="0" fontId="0" fillId="0" borderId="13" xfId="0" applyFill="1" applyBorder="1" applyAlignment="1"/>
    <xf numFmtId="0" fontId="7" fillId="0" borderId="36" xfId="0" applyFont="1" applyFill="1" applyBorder="1" applyAlignment="1">
      <alignment horizontal="justify" vertical="top" wrapText="1"/>
    </xf>
    <xf numFmtId="0" fontId="9" fillId="0" borderId="37" xfId="0" applyFont="1" applyFill="1" applyBorder="1" applyAlignment="1">
      <alignment horizontal="justify" vertical="top" wrapText="1"/>
    </xf>
    <xf numFmtId="0" fontId="22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justify" wrapText="1"/>
    </xf>
    <xf numFmtId="0" fontId="0" fillId="0" borderId="2" xfId="0" applyFill="1" applyBorder="1" applyAlignment="1"/>
    <xf numFmtId="0" fontId="2" fillId="0" borderId="31" xfId="0" applyFont="1" applyFill="1" applyBorder="1" applyAlignment="1">
      <alignment wrapText="1"/>
    </xf>
    <xf numFmtId="0" fontId="9" fillId="0" borderId="30" xfId="0" applyFont="1" applyFill="1" applyBorder="1" applyAlignment="1">
      <alignment wrapText="1"/>
    </xf>
    <xf numFmtId="0" fontId="22" fillId="0" borderId="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wrapText="1"/>
    </xf>
    <xf numFmtId="49" fontId="10" fillId="0" borderId="19" xfId="0" applyNumberFormat="1" applyFont="1" applyFill="1" applyBorder="1" applyAlignment="1">
      <alignment horizontal="justify" wrapText="1"/>
    </xf>
    <xf numFmtId="49" fontId="0" fillId="0" borderId="13" xfId="0" applyNumberFormat="1" applyFill="1" applyBorder="1" applyAlignment="1"/>
    <xf numFmtId="0" fontId="0" fillId="0" borderId="3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7" fillId="0" borderId="36" xfId="0" applyFont="1" applyFill="1" applyBorder="1" applyAlignment="1">
      <alignment wrapText="1"/>
    </xf>
    <xf numFmtId="0" fontId="9" fillId="0" borderId="37" xfId="0" applyFont="1" applyFill="1" applyBorder="1" applyAlignment="1">
      <alignment wrapText="1"/>
    </xf>
    <xf numFmtId="0" fontId="9" fillId="0" borderId="38" xfId="0" applyFont="1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2" xfId="0" applyFill="1" applyBorder="1" applyAlignment="1">
      <alignment wrapText="1"/>
    </xf>
    <xf numFmtId="0" fontId="2" fillId="0" borderId="30" xfId="0" applyFont="1" applyFill="1" applyBorder="1" applyAlignment="1">
      <alignment wrapText="1"/>
    </xf>
    <xf numFmtId="0" fontId="0" fillId="0" borderId="2" xfId="0" applyFill="1" applyBorder="1" applyAlignment="1">
      <alignment horizontal="justify" wrapText="1"/>
    </xf>
    <xf numFmtId="0" fontId="27" fillId="0" borderId="2" xfId="0" applyFont="1" applyFill="1" applyBorder="1" applyAlignment="1">
      <alignment vertical="top" wrapText="1"/>
    </xf>
    <xf numFmtId="0" fontId="14" fillId="0" borderId="3" xfId="0" applyFont="1" applyFill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49" fontId="0" fillId="0" borderId="3" xfId="0" applyNumberFormat="1" applyFill="1" applyBorder="1" applyAlignment="1"/>
    <xf numFmtId="0" fontId="2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justify" vertical="top" wrapText="1"/>
    </xf>
    <xf numFmtId="0" fontId="36" fillId="0" borderId="3" xfId="0" applyFont="1" applyFill="1" applyBorder="1" applyAlignment="1">
      <alignment horizontal="center" vertical="top" wrapText="1"/>
    </xf>
    <xf numFmtId="0" fontId="32" fillId="0" borderId="16" xfId="0" applyFont="1" applyFill="1" applyBorder="1" applyAlignment="1">
      <alignment horizontal="center" vertical="top" wrapText="1"/>
    </xf>
    <xf numFmtId="0" fontId="32" fillId="0" borderId="1" xfId="0" applyFont="1" applyFill="1" applyBorder="1" applyAlignment="1">
      <alignment horizontal="center" vertical="top" wrapText="1"/>
    </xf>
    <xf numFmtId="0" fontId="7" fillId="0" borderId="50" xfId="0" applyFont="1" applyFill="1" applyBorder="1" applyAlignment="1">
      <alignment horizontal="justify" wrapText="1"/>
    </xf>
    <xf numFmtId="0" fontId="0" fillId="0" borderId="51" xfId="0" applyFill="1" applyBorder="1" applyAlignment="1">
      <alignment horizontal="justify" wrapText="1"/>
    </xf>
    <xf numFmtId="0" fontId="0" fillId="0" borderId="52" xfId="0" applyFill="1" applyBorder="1" applyAlignment="1">
      <alignment horizontal="justify" wrapText="1"/>
    </xf>
    <xf numFmtId="0" fontId="7" fillId="0" borderId="54" xfId="0" applyFont="1" applyFill="1" applyBorder="1" applyAlignment="1">
      <alignment horizontal="justify" vertical="top" wrapText="1"/>
    </xf>
    <xf numFmtId="0" fontId="0" fillId="0" borderId="55" xfId="0" applyFill="1" applyBorder="1" applyAlignment="1">
      <alignment horizontal="justify" vertical="top" wrapText="1"/>
    </xf>
    <xf numFmtId="0" fontId="0" fillId="0" borderId="56" xfId="0" applyFill="1" applyBorder="1" applyAlignment="1">
      <alignment horizontal="justify" vertical="top" wrapText="1"/>
    </xf>
    <xf numFmtId="0" fontId="25" fillId="0" borderId="2" xfId="0" applyFont="1" applyFill="1" applyBorder="1" applyAlignment="1">
      <alignment vertical="top" wrapText="1"/>
    </xf>
    <xf numFmtId="0" fontId="36" fillId="0" borderId="16" xfId="0" applyFont="1" applyFill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0" fontId="36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justify" vertical="top" wrapText="1"/>
    </xf>
    <xf numFmtId="0" fontId="9" fillId="0" borderId="16" xfId="0" applyFont="1" applyFill="1" applyBorder="1" applyAlignment="1">
      <alignment horizontal="justify" vertical="top" wrapText="1"/>
    </xf>
    <xf numFmtId="0" fontId="3" fillId="0" borderId="48" xfId="0" applyFont="1" applyFill="1" applyBorder="1" applyAlignment="1"/>
    <xf numFmtId="0" fontId="3" fillId="0" borderId="57" xfId="0" applyFont="1" applyFill="1" applyBorder="1" applyAlignment="1"/>
    <xf numFmtId="0" fontId="3" fillId="0" borderId="58" xfId="0" applyFont="1" applyFill="1" applyBorder="1" applyAlignment="1"/>
    <xf numFmtId="0" fontId="3" fillId="0" borderId="49" xfId="0" applyFont="1" applyFill="1" applyBorder="1" applyAlignment="1"/>
    <xf numFmtId="0" fontId="7" fillId="0" borderId="19" xfId="0" applyFont="1" applyFill="1" applyBorder="1" applyAlignment="1">
      <alignment horizontal="justify" wrapText="1"/>
    </xf>
    <xf numFmtId="0" fontId="0" fillId="0" borderId="28" xfId="0" applyFill="1" applyBorder="1" applyAlignment="1">
      <alignment horizontal="justify" wrapText="1"/>
    </xf>
    <xf numFmtId="0" fontId="0" fillId="0" borderId="29" xfId="0" applyFill="1" applyBorder="1" applyAlignment="1">
      <alignment horizontal="justify" wrapText="1"/>
    </xf>
    <xf numFmtId="0" fontId="7" fillId="0" borderId="10" xfId="0" applyFont="1" applyFill="1" applyBorder="1" applyAlignment="1">
      <alignment horizontal="justify" vertical="top" wrapText="1"/>
    </xf>
    <xf numFmtId="0" fontId="0" fillId="0" borderId="23" xfId="0" applyFill="1" applyBorder="1" applyAlignment="1">
      <alignment horizontal="justify" vertical="top" wrapText="1"/>
    </xf>
    <xf numFmtId="0" fontId="0" fillId="0" borderId="4" xfId="0" applyFill="1" applyBorder="1" applyAlignment="1">
      <alignment horizontal="justify" vertical="top" wrapText="1"/>
    </xf>
    <xf numFmtId="0" fontId="24" fillId="0" borderId="31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47" xfId="0" applyFont="1" applyFill="1" applyBorder="1" applyAlignment="1">
      <alignment horizontal="center" vertical="center" wrapText="1"/>
    </xf>
    <xf numFmtId="0" fontId="24" fillId="0" borderId="3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27" xfId="0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4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 wrapText="1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justify" vertical="top" wrapText="1"/>
    </xf>
    <xf numFmtId="0" fontId="23" fillId="0" borderId="2" xfId="0" applyFont="1" applyFill="1" applyBorder="1" applyAlignment="1">
      <alignment wrapText="1"/>
    </xf>
    <xf numFmtId="0" fontId="23" fillId="0" borderId="3" xfId="0" applyFont="1" applyFill="1" applyBorder="1" applyAlignment="1">
      <alignment wrapText="1"/>
    </xf>
    <xf numFmtId="0" fontId="3" fillId="0" borderId="41" xfId="0" applyFont="1" applyFill="1" applyBorder="1" applyAlignment="1">
      <alignment horizontal="justify" vertical="top" wrapText="1"/>
    </xf>
    <xf numFmtId="0" fontId="1" fillId="0" borderId="11" xfId="0" applyFont="1" applyFill="1" applyBorder="1" applyAlignment="1">
      <alignment horizontal="justify" vertical="top" wrapText="1"/>
    </xf>
    <xf numFmtId="0" fontId="1" fillId="0" borderId="40" xfId="0" applyFont="1" applyFill="1" applyBorder="1" applyAlignment="1">
      <alignment horizontal="justify" vertical="top" wrapText="1"/>
    </xf>
    <xf numFmtId="0" fontId="0" fillId="0" borderId="16" xfId="0" applyFill="1" applyBorder="1" applyAlignment="1">
      <alignment horizontal="justify" vertical="top" wrapText="1"/>
    </xf>
    <xf numFmtId="0" fontId="7" fillId="0" borderId="13" xfId="0" applyFont="1" applyFill="1" applyBorder="1" applyAlignment="1">
      <alignment wrapText="1"/>
    </xf>
    <xf numFmtId="0" fontId="7" fillId="0" borderId="14" xfId="0" applyFont="1" applyFill="1" applyBorder="1" applyAlignment="1">
      <alignment wrapText="1"/>
    </xf>
    <xf numFmtId="0" fontId="2" fillId="0" borderId="14" xfId="0" applyFont="1" applyFill="1" applyBorder="1" applyAlignment="1"/>
    <xf numFmtId="0" fontId="2" fillId="0" borderId="15" xfId="0" applyFont="1" applyFill="1" applyBorder="1" applyAlignment="1"/>
    <xf numFmtId="0" fontId="14" fillId="0" borderId="13" xfId="0" applyFont="1" applyFill="1" applyBorder="1" applyAlignment="1">
      <alignment wrapText="1"/>
    </xf>
    <xf numFmtId="0" fontId="14" fillId="0" borderId="14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 wrapText="1"/>
    </xf>
    <xf numFmtId="0" fontId="9" fillId="0" borderId="16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7" fillId="0" borderId="3" xfId="0" applyFont="1" applyFill="1" applyBorder="1" applyAlignment="1"/>
    <xf numFmtId="0" fontId="13" fillId="0" borderId="2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 wrapText="1"/>
    </xf>
    <xf numFmtId="0" fontId="3" fillId="0" borderId="13" xfId="0" applyFont="1" applyFill="1" applyBorder="1" applyAlignment="1"/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justify"/>
    </xf>
    <xf numFmtId="0" fontId="22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14" fillId="0" borderId="0" xfId="0" applyFont="1" applyFill="1" applyAlignment="1">
      <alignment horizontal="center"/>
    </xf>
    <xf numFmtId="0" fontId="3" fillId="0" borderId="2" xfId="0" applyFont="1" applyFill="1" applyBorder="1" applyAlignment="1"/>
    <xf numFmtId="0" fontId="3" fillId="0" borderId="16" xfId="0" applyFont="1" applyFill="1" applyBorder="1" applyAlignment="1"/>
    <xf numFmtId="0" fontId="22" fillId="0" borderId="2" xfId="0" applyFont="1" applyFill="1" applyBorder="1" applyAlignment="1">
      <alignment horizontal="justify" vertical="top" wrapText="1"/>
    </xf>
    <xf numFmtId="0" fontId="19" fillId="0" borderId="20" xfId="0" applyFont="1" applyFill="1" applyBorder="1" applyAlignment="1">
      <alignment wrapText="1"/>
    </xf>
    <xf numFmtId="0" fontId="9" fillId="0" borderId="21" xfId="0" applyFont="1" applyFill="1" applyBorder="1" applyAlignment="1">
      <alignment wrapText="1"/>
    </xf>
    <xf numFmtId="0" fontId="9" fillId="0" borderId="26" xfId="0" applyFont="1" applyFill="1" applyBorder="1" applyAlignment="1">
      <alignment wrapText="1"/>
    </xf>
    <xf numFmtId="0" fontId="19" fillId="0" borderId="25" xfId="0" applyFont="1" applyFill="1" applyBorder="1" applyAlignment="1">
      <alignment wrapText="1"/>
    </xf>
    <xf numFmtId="0" fontId="19" fillId="0" borderId="21" xfId="0" applyFont="1" applyFill="1" applyBorder="1" applyAlignment="1">
      <alignment wrapText="1"/>
    </xf>
    <xf numFmtId="0" fontId="19" fillId="0" borderId="3" xfId="0" applyFont="1" applyFill="1" applyBorder="1" applyAlignment="1">
      <alignment horizontal="justify" wrapText="1"/>
    </xf>
    <xf numFmtId="49" fontId="8" fillId="0" borderId="2" xfId="0" applyNumberFormat="1" applyFont="1" applyFill="1" applyBorder="1" applyAlignment="1"/>
    <xf numFmtId="0" fontId="14" fillId="0" borderId="36" xfId="0" applyFont="1" applyFill="1" applyBorder="1" applyAlignment="1">
      <alignment horizontal="justify" vertical="top" wrapText="1"/>
    </xf>
    <xf numFmtId="0" fontId="28" fillId="0" borderId="37" xfId="0" applyFont="1" applyFill="1" applyBorder="1" applyAlignment="1">
      <alignment horizontal="justify" vertical="top" wrapText="1"/>
    </xf>
    <xf numFmtId="0" fontId="2" fillId="0" borderId="22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27" xfId="0" applyFont="1" applyFill="1" applyBorder="1" applyAlignment="1" applyProtection="1">
      <alignment vertical="center" wrapText="1"/>
      <protection locked="0"/>
    </xf>
    <xf numFmtId="0" fontId="36" fillId="0" borderId="3" xfId="0" applyFont="1" applyFill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/>
    <xf numFmtId="0" fontId="17" fillId="0" borderId="2" xfId="0" applyFont="1" applyFill="1" applyBorder="1" applyAlignment="1">
      <alignment horizontal="justify" vertical="top" wrapText="1"/>
    </xf>
    <xf numFmtId="0" fontId="36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wrapText="1"/>
    </xf>
    <xf numFmtId="0" fontId="7" fillId="0" borderId="10" xfId="0" applyFont="1" applyFill="1" applyBorder="1" applyAlignment="1">
      <alignment horizontal="justify" wrapText="1"/>
    </xf>
    <xf numFmtId="0" fontId="9" fillId="0" borderId="23" xfId="0" applyFont="1" applyFill="1" applyBorder="1" applyAlignment="1">
      <alignment horizontal="justify" wrapText="1"/>
    </xf>
    <xf numFmtId="0" fontId="9" fillId="0" borderId="4" xfId="0" applyFont="1" applyFill="1" applyBorder="1" applyAlignment="1">
      <alignment horizontal="justify" wrapText="1"/>
    </xf>
    <xf numFmtId="49" fontId="3" fillId="0" borderId="1" xfId="0" applyNumberFormat="1" applyFont="1" applyFill="1" applyBorder="1" applyAlignment="1"/>
    <xf numFmtId="0" fontId="19" fillId="0" borderId="2" xfId="0" applyFont="1" applyFill="1" applyBorder="1" applyAlignment="1">
      <alignment horizontal="justify" wrapText="1"/>
    </xf>
    <xf numFmtId="0" fontId="10" fillId="0" borderId="19" xfId="0" applyFont="1" applyFill="1" applyBorder="1" applyAlignment="1">
      <alignment horizontal="justify" wrapText="1"/>
    </xf>
    <xf numFmtId="0" fontId="14" fillId="0" borderId="14" xfId="0" applyFont="1" applyFill="1" applyBorder="1" applyAlignment="1">
      <alignment horizontal="center" wrapText="1"/>
    </xf>
    <xf numFmtId="0" fontId="14" fillId="0" borderId="15" xfId="0" applyFont="1" applyFill="1" applyBorder="1" applyAlignment="1">
      <alignment horizontal="center" wrapText="1"/>
    </xf>
    <xf numFmtId="0" fontId="14" fillId="0" borderId="5" xfId="0" applyFont="1" applyFill="1" applyBorder="1" applyAlignment="1">
      <alignment horizontal="center" wrapText="1"/>
    </xf>
    <xf numFmtId="0" fontId="14" fillId="0" borderId="46" xfId="0" applyFont="1" applyFill="1" applyBorder="1" applyAlignment="1">
      <alignment horizontal="center" wrapText="1"/>
    </xf>
    <xf numFmtId="0" fontId="1" fillId="0" borderId="39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wrapText="1"/>
    </xf>
    <xf numFmtId="0" fontId="2" fillId="0" borderId="26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19" fillId="0" borderId="3" xfId="0" applyFont="1" applyFill="1" applyBorder="1" applyAlignment="1">
      <alignment horizontal="left" wrapText="1"/>
    </xf>
    <xf numFmtId="0" fontId="19" fillId="0" borderId="16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center" wrapText="1"/>
    </xf>
    <xf numFmtId="49" fontId="3" fillId="0" borderId="16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justify" vertical="top" wrapText="1"/>
    </xf>
    <xf numFmtId="49" fontId="1" fillId="0" borderId="2" xfId="0" applyNumberFormat="1" applyFont="1" applyFill="1" applyBorder="1" applyAlignment="1"/>
    <xf numFmtId="49" fontId="1" fillId="0" borderId="3" xfId="0" applyNumberFormat="1" applyFont="1" applyFill="1" applyBorder="1" applyAlignment="1"/>
    <xf numFmtId="0" fontId="19" fillId="0" borderId="2" xfId="0" applyFont="1" applyFill="1" applyBorder="1" applyAlignment="1">
      <alignment horizontal="justify" vertical="top" wrapText="1"/>
    </xf>
    <xf numFmtId="0" fontId="7" fillId="0" borderId="31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47" xfId="0" applyFont="1" applyFill="1" applyBorder="1" applyAlignment="1">
      <alignment horizontal="center" wrapText="1"/>
    </xf>
    <xf numFmtId="0" fontId="7" fillId="0" borderId="24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46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25" fillId="0" borderId="19" xfId="0" applyFont="1" applyFill="1" applyBorder="1" applyAlignment="1">
      <alignment horizontal="left" vertical="top" wrapText="1"/>
    </xf>
    <xf numFmtId="0" fontId="25" fillId="0" borderId="28" xfId="0" applyFont="1" applyFill="1" applyBorder="1" applyAlignment="1">
      <alignment horizontal="left" vertical="top" wrapText="1"/>
    </xf>
    <xf numFmtId="0" fontId="25" fillId="0" borderId="29" xfId="0" applyFont="1" applyFill="1" applyBorder="1" applyAlignment="1">
      <alignment horizontal="left" vertical="top" wrapText="1"/>
    </xf>
    <xf numFmtId="0" fontId="7" fillId="0" borderId="33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9" fillId="0" borderId="28" xfId="0" applyFont="1" applyFill="1" applyBorder="1" applyAlignment="1">
      <alignment wrapText="1"/>
    </xf>
    <xf numFmtId="0" fontId="9" fillId="0" borderId="29" xfId="0" applyFont="1" applyFill="1" applyBorder="1" applyAlignment="1">
      <alignment wrapText="1"/>
    </xf>
    <xf numFmtId="0" fontId="8" fillId="3" borderId="22" xfId="0" applyFont="1" applyFill="1" applyBorder="1" applyAlignment="1">
      <alignment horizontal="justify" vertical="top" wrapText="1"/>
    </xf>
    <xf numFmtId="0" fontId="0" fillId="0" borderId="0" xfId="0" applyAlignment="1">
      <alignment wrapText="1"/>
    </xf>
    <xf numFmtId="0" fontId="7" fillId="3" borderId="16" xfId="0" applyFont="1" applyFill="1" applyBorder="1" applyAlignment="1">
      <alignment horizontal="justify" vertical="top" wrapText="1"/>
    </xf>
    <xf numFmtId="0" fontId="9" fillId="3" borderId="16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>
      <alignment wrapText="1"/>
    </xf>
    <xf numFmtId="0" fontId="0" fillId="0" borderId="16" xfId="0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9" fillId="0" borderId="16" xfId="0" applyFont="1" applyFill="1" applyBorder="1" applyAlignment="1">
      <alignment wrapText="1"/>
    </xf>
    <xf numFmtId="0" fontId="37" fillId="0" borderId="13" xfId="0" applyFont="1" applyFill="1" applyBorder="1" applyAlignment="1">
      <alignment horizontal="justify" wrapText="1"/>
    </xf>
    <xf numFmtId="0" fontId="29" fillId="0" borderId="22" xfId="0" applyFont="1" applyFill="1" applyBorder="1" applyAlignment="1">
      <alignment horizontal="justify" wrapText="1"/>
    </xf>
    <xf numFmtId="0" fontId="29" fillId="0" borderId="19" xfId="0" applyFont="1" applyFill="1" applyBorder="1" applyAlignment="1">
      <alignment horizontal="justify" wrapText="1"/>
    </xf>
    <xf numFmtId="0" fontId="2" fillId="0" borderId="3" xfId="0" applyFont="1" applyFill="1" applyBorder="1" applyAlignment="1">
      <alignment horizontal="justify" vertical="top" wrapText="1"/>
    </xf>
    <xf numFmtId="0" fontId="1" fillId="0" borderId="16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38" fillId="0" borderId="16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justify" vertical="top" wrapText="1"/>
    </xf>
    <xf numFmtId="0" fontId="1" fillId="0" borderId="27" xfId="0" applyFont="1" applyFill="1" applyBorder="1" applyAlignment="1">
      <alignment horizontal="justify" vertical="top" wrapText="1"/>
    </xf>
    <xf numFmtId="0" fontId="1" fillId="0" borderId="29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7" fillId="0" borderId="24" xfId="0" applyFont="1" applyFill="1" applyBorder="1" applyAlignment="1">
      <alignment horizontal="justify" vertical="top" wrapText="1"/>
    </xf>
    <xf numFmtId="0" fontId="9" fillId="0" borderId="5" xfId="0" applyFont="1" applyFill="1" applyBorder="1" applyAlignment="1">
      <alignment horizontal="justify" vertical="top" wrapText="1"/>
    </xf>
    <xf numFmtId="0" fontId="17" fillId="0" borderId="10" xfId="0" applyFont="1" applyFill="1" applyBorder="1" applyAlignment="1">
      <alignment wrapText="1"/>
    </xf>
    <xf numFmtId="0" fontId="9" fillId="0" borderId="23" xfId="0" applyFont="1" applyFill="1" applyBorder="1" applyAlignment="1">
      <alignment wrapText="1"/>
    </xf>
    <xf numFmtId="0" fontId="9" fillId="0" borderId="4" xfId="0" applyFont="1" applyFill="1" applyBorder="1" applyAlignment="1">
      <alignment wrapText="1"/>
    </xf>
    <xf numFmtId="0" fontId="3" fillId="0" borderId="16" xfId="0" applyFont="1" applyFill="1" applyBorder="1" applyAlignment="1">
      <alignment horizontal="center" vertical="center"/>
    </xf>
    <xf numFmtId="0" fontId="22" fillId="0" borderId="16" xfId="0" applyFont="1" applyFill="1" applyBorder="1" applyAlignment="1"/>
    <xf numFmtId="0" fontId="31" fillId="0" borderId="16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justify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  <color rgb="FFFFFF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3"/>
  <sheetViews>
    <sheetView tabSelected="1" view="pageBreakPreview" topLeftCell="A946" zoomScaleNormal="100" zoomScaleSheetLayoutView="100" workbookViewId="0">
      <selection activeCell="B969" sqref="B969:B980"/>
    </sheetView>
  </sheetViews>
  <sheetFormatPr defaultRowHeight="12.75" x14ac:dyDescent="0.2"/>
  <cols>
    <col min="1" max="1" width="6.28515625" style="4" customWidth="1"/>
    <col min="2" max="2" width="28" style="4" customWidth="1"/>
    <col min="3" max="3" width="11.140625" style="4" customWidth="1"/>
    <col min="4" max="4" width="15" style="4" customWidth="1"/>
    <col min="5" max="5" width="9.85546875" style="4" customWidth="1"/>
    <col min="6" max="6" width="13.42578125" style="4" customWidth="1"/>
    <col min="7" max="7" width="11.140625" style="4" customWidth="1"/>
    <col min="8" max="8" width="13.140625" style="4" customWidth="1"/>
    <col min="9" max="9" width="13" style="4" customWidth="1"/>
    <col min="10" max="10" width="14.42578125" style="4" customWidth="1"/>
    <col min="11" max="11" width="29.7109375" style="4" customWidth="1"/>
    <col min="12" max="12" width="12" style="4" customWidth="1"/>
    <col min="13" max="13" width="10.7109375" style="4" bestFit="1" customWidth="1"/>
    <col min="14" max="14" width="11.42578125" style="4" customWidth="1"/>
    <col min="15" max="15" width="12.5703125" style="4" customWidth="1"/>
    <col min="16" max="16" width="10.140625" style="4" bestFit="1" customWidth="1"/>
    <col min="17" max="17" width="10.5703125" style="4" customWidth="1"/>
    <col min="18" max="18" width="10" style="4" bestFit="1" customWidth="1"/>
    <col min="19" max="16384" width="9.140625" style="4"/>
  </cols>
  <sheetData>
    <row r="1" spans="1:26" ht="19.5" customHeight="1" x14ac:dyDescent="0.2">
      <c r="H1" s="490" t="s">
        <v>224</v>
      </c>
      <c r="I1" s="490"/>
      <c r="J1" s="490"/>
      <c r="K1" s="490"/>
    </row>
    <row r="2" spans="1:26" ht="24" customHeight="1" x14ac:dyDescent="0.2">
      <c r="H2" s="491" t="s">
        <v>409</v>
      </c>
      <c r="I2" s="492"/>
      <c r="J2" s="492"/>
      <c r="K2" s="492"/>
    </row>
    <row r="3" spans="1:26" ht="15.75" customHeight="1" x14ac:dyDescent="0.2">
      <c r="C3" s="220"/>
      <c r="F3" s="220"/>
      <c r="G3" s="220"/>
      <c r="H3" s="220"/>
    </row>
    <row r="4" spans="1:26" ht="15.75" x14ac:dyDescent="0.25">
      <c r="C4" s="23"/>
    </row>
    <row r="5" spans="1:26" ht="12.75" customHeight="1" x14ac:dyDescent="0.25">
      <c r="A5" s="497" t="s">
        <v>113</v>
      </c>
      <c r="B5" s="497"/>
      <c r="C5" s="497"/>
      <c r="D5" s="497"/>
      <c r="E5" s="497"/>
      <c r="F5" s="497"/>
      <c r="G5" s="497"/>
      <c r="H5" s="497"/>
      <c r="I5" s="497"/>
      <c r="J5" s="497"/>
      <c r="K5" s="497"/>
    </row>
    <row r="6" spans="1:26" ht="12.75" customHeight="1" x14ac:dyDescent="0.25">
      <c r="A6" s="497" t="s">
        <v>114</v>
      </c>
      <c r="B6" s="497"/>
      <c r="C6" s="497"/>
      <c r="D6" s="497"/>
      <c r="E6" s="497"/>
      <c r="F6" s="497"/>
      <c r="G6" s="497"/>
      <c r="H6" s="497"/>
      <c r="I6" s="497"/>
      <c r="J6" s="497"/>
      <c r="K6" s="497"/>
    </row>
    <row r="7" spans="1:26" ht="12.75" customHeight="1" x14ac:dyDescent="0.25">
      <c r="A7" s="497" t="s">
        <v>408</v>
      </c>
      <c r="B7" s="497"/>
      <c r="C7" s="497"/>
      <c r="D7" s="497"/>
      <c r="E7" s="497"/>
      <c r="F7" s="497"/>
      <c r="G7" s="497"/>
      <c r="H7" s="497"/>
      <c r="I7" s="497"/>
      <c r="J7" s="497"/>
      <c r="K7" s="497"/>
    </row>
    <row r="10" spans="1:26" ht="18" customHeight="1" x14ac:dyDescent="0.25">
      <c r="A10" s="493" t="s">
        <v>2</v>
      </c>
      <c r="B10" s="493" t="s">
        <v>3</v>
      </c>
      <c r="C10" s="493" t="s">
        <v>4</v>
      </c>
      <c r="D10" s="493" t="s">
        <v>5</v>
      </c>
      <c r="E10" s="493" t="s">
        <v>6</v>
      </c>
      <c r="F10" s="493" t="s">
        <v>7</v>
      </c>
      <c r="G10" s="493"/>
      <c r="H10" s="493"/>
      <c r="I10" s="493"/>
      <c r="J10" s="493"/>
      <c r="K10" s="493" t="s">
        <v>8</v>
      </c>
    </row>
    <row r="11" spans="1:26" ht="45" x14ac:dyDescent="0.25">
      <c r="A11" s="493"/>
      <c r="B11" s="493"/>
      <c r="C11" s="493"/>
      <c r="D11" s="493"/>
      <c r="E11" s="493"/>
      <c r="F11" s="221" t="s">
        <v>9</v>
      </c>
      <c r="G11" s="221" t="s">
        <v>10</v>
      </c>
      <c r="H11" s="221" t="s">
        <v>11</v>
      </c>
      <c r="I11" s="221" t="s">
        <v>12</v>
      </c>
      <c r="J11" s="221" t="s">
        <v>13</v>
      </c>
      <c r="K11" s="493"/>
    </row>
    <row r="12" spans="1:26" x14ac:dyDescent="0.2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</row>
    <row r="13" spans="1:26" ht="23.25" customHeight="1" x14ac:dyDescent="0.35">
      <c r="A13" s="495" t="s">
        <v>14</v>
      </c>
      <c r="B13" s="496"/>
      <c r="C13" s="496"/>
      <c r="D13" s="496"/>
      <c r="E13" s="496"/>
      <c r="F13" s="496"/>
      <c r="G13" s="496"/>
      <c r="H13" s="496"/>
      <c r="I13" s="496"/>
      <c r="J13" s="496"/>
      <c r="K13" s="496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ht="15.75" x14ac:dyDescent="0.25">
      <c r="A14" s="494" t="s">
        <v>15</v>
      </c>
      <c r="B14" s="494"/>
      <c r="C14" s="494"/>
      <c r="D14" s="494"/>
      <c r="E14" s="494"/>
      <c r="F14" s="494"/>
      <c r="G14" s="494"/>
      <c r="H14" s="494"/>
      <c r="I14" s="494"/>
      <c r="J14" s="494"/>
      <c r="K14" s="494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6" ht="32.25" customHeight="1" x14ac:dyDescent="0.2">
      <c r="A15" s="418" t="s">
        <v>216</v>
      </c>
      <c r="B15" s="380"/>
      <c r="C15" s="380"/>
      <c r="D15" s="379"/>
      <c r="E15" s="379"/>
      <c r="F15" s="379"/>
      <c r="G15" s="379"/>
      <c r="H15" s="379"/>
      <c r="I15" s="379"/>
      <c r="J15" s="379"/>
      <c r="K15" s="379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</row>
    <row r="16" spans="1:26" ht="15" x14ac:dyDescent="0.25">
      <c r="A16" s="345" t="s">
        <v>16</v>
      </c>
      <c r="B16" s="273" t="s">
        <v>17</v>
      </c>
      <c r="C16" s="272">
        <v>2015</v>
      </c>
      <c r="D16" s="342" t="s">
        <v>385</v>
      </c>
      <c r="E16" s="222">
        <v>2015</v>
      </c>
      <c r="F16" s="7">
        <f>SUM(G16:J16)</f>
        <v>123364</v>
      </c>
      <c r="G16" s="7"/>
      <c r="H16" s="7">
        <f>84472.3+21385+13129.2</f>
        <v>118986.5</v>
      </c>
      <c r="I16" s="7">
        <f>4727.6-3108.6+2758.5</f>
        <v>4377.5</v>
      </c>
      <c r="J16" s="7"/>
      <c r="K16" s="248" t="s">
        <v>111</v>
      </c>
    </row>
    <row r="17" spans="1:26" ht="75.75" customHeight="1" x14ac:dyDescent="0.2">
      <c r="A17" s="345"/>
      <c r="B17" s="275"/>
      <c r="C17" s="284"/>
      <c r="D17" s="344"/>
      <c r="E17" s="18" t="s">
        <v>18</v>
      </c>
      <c r="F17" s="8">
        <f>SUM(F16:F16)</f>
        <v>123364</v>
      </c>
      <c r="G17" s="8">
        <f>SUM(G16:G16)</f>
        <v>0</v>
      </c>
      <c r="H17" s="8">
        <f>SUM(H16:H16)</f>
        <v>118986.5</v>
      </c>
      <c r="I17" s="8">
        <f>SUM(I16:I16)</f>
        <v>4377.5</v>
      </c>
      <c r="J17" s="8"/>
      <c r="K17" s="250"/>
    </row>
    <row r="18" spans="1:26" ht="15" x14ac:dyDescent="0.25">
      <c r="A18" s="345" t="s">
        <v>19</v>
      </c>
      <c r="B18" s="273" t="s">
        <v>123</v>
      </c>
      <c r="C18" s="272">
        <v>2015</v>
      </c>
      <c r="D18" s="342" t="s">
        <v>385</v>
      </c>
      <c r="E18" s="222">
        <v>2015</v>
      </c>
      <c r="F18" s="7">
        <f>SUM(G18:I18)</f>
        <v>5858.9</v>
      </c>
      <c r="G18" s="7"/>
      <c r="H18" s="7">
        <f>104685.7-104685.7</f>
        <v>0</v>
      </c>
      <c r="I18" s="7">
        <v>5858.9</v>
      </c>
      <c r="J18" s="7"/>
      <c r="K18" s="248" t="s">
        <v>112</v>
      </c>
    </row>
    <row r="19" spans="1:26" ht="76.5" customHeight="1" x14ac:dyDescent="0.25">
      <c r="A19" s="488"/>
      <c r="B19" s="275"/>
      <c r="C19" s="284"/>
      <c r="D19" s="344"/>
      <c r="E19" s="26" t="s">
        <v>18</v>
      </c>
      <c r="F19" s="9">
        <f>SUM(F18:F18)</f>
        <v>5858.9</v>
      </c>
      <c r="G19" s="10">
        <f>SUM(G18:G18)</f>
        <v>0</v>
      </c>
      <c r="H19" s="10">
        <f>SUM(H18:H18)</f>
        <v>0</v>
      </c>
      <c r="I19" s="10">
        <f>SUM(I18:I18)</f>
        <v>5858.9</v>
      </c>
      <c r="J19" s="10"/>
      <c r="K19" s="250"/>
    </row>
    <row r="20" spans="1:26" ht="14.25" x14ac:dyDescent="0.2">
      <c r="A20" s="287" t="s">
        <v>20</v>
      </c>
      <c r="B20" s="403"/>
      <c r="C20" s="403"/>
      <c r="D20" s="403"/>
      <c r="E20" s="209"/>
      <c r="F20" s="11">
        <f>F17+F19</f>
        <v>129222.9</v>
      </c>
      <c r="G20" s="11">
        <f>G17+G19</f>
        <v>0</v>
      </c>
      <c r="H20" s="11">
        <f>H17+H19</f>
        <v>118986.5</v>
      </c>
      <c r="I20" s="11">
        <f>I17+I19</f>
        <v>10236.4</v>
      </c>
      <c r="J20" s="11">
        <f>J17+J19</f>
        <v>0</v>
      </c>
      <c r="K20" s="209"/>
      <c r="L20" s="487"/>
      <c r="M20" s="487"/>
      <c r="N20" s="487"/>
      <c r="O20" s="487"/>
      <c r="P20" s="487"/>
      <c r="Q20" s="487"/>
      <c r="R20" s="487"/>
      <c r="S20" s="487"/>
      <c r="T20" s="487"/>
      <c r="U20" s="487"/>
      <c r="V20" s="487"/>
      <c r="W20" s="487"/>
      <c r="X20" s="487"/>
      <c r="Y20" s="487"/>
      <c r="Z20" s="487"/>
    </row>
    <row r="21" spans="1:26" ht="14.25" x14ac:dyDescent="0.2">
      <c r="A21" s="418" t="s">
        <v>217</v>
      </c>
      <c r="B21" s="379"/>
      <c r="C21" s="379"/>
      <c r="D21" s="379"/>
      <c r="E21" s="379"/>
      <c r="F21" s="379"/>
      <c r="G21" s="379"/>
      <c r="H21" s="379"/>
      <c r="I21" s="379"/>
      <c r="J21" s="379"/>
      <c r="K21" s="379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</row>
    <row r="22" spans="1:26" ht="12.75" customHeight="1" x14ac:dyDescent="0.2">
      <c r="A22" s="271" t="s">
        <v>60</v>
      </c>
      <c r="B22" s="273" t="s">
        <v>116</v>
      </c>
      <c r="C22" s="272" t="s">
        <v>122</v>
      </c>
      <c r="D22" s="260" t="s">
        <v>449</v>
      </c>
      <c r="E22" s="222">
        <v>2015</v>
      </c>
      <c r="F22" s="2"/>
      <c r="G22" s="2"/>
      <c r="H22" s="2"/>
      <c r="I22" s="2"/>
      <c r="J22" s="2"/>
      <c r="K22" s="489" t="s">
        <v>110</v>
      </c>
    </row>
    <row r="23" spans="1:26" x14ac:dyDescent="0.2">
      <c r="A23" s="271"/>
      <c r="B23" s="283"/>
      <c r="C23" s="284"/>
      <c r="D23" s="260"/>
      <c r="E23" s="222">
        <v>2016</v>
      </c>
      <c r="F23" s="2"/>
      <c r="G23" s="2"/>
      <c r="H23" s="2"/>
      <c r="I23" s="2"/>
      <c r="J23" s="2"/>
      <c r="K23" s="489"/>
    </row>
    <row r="24" spans="1:26" x14ac:dyDescent="0.2">
      <c r="A24" s="271"/>
      <c r="B24" s="283"/>
      <c r="C24" s="284"/>
      <c r="D24" s="260"/>
      <c r="E24" s="222">
        <v>2017</v>
      </c>
      <c r="F24" s="2"/>
      <c r="G24" s="2"/>
      <c r="H24" s="2"/>
      <c r="I24" s="2"/>
      <c r="J24" s="2"/>
      <c r="K24" s="489"/>
      <c r="L24" s="99"/>
    </row>
    <row r="25" spans="1:26" x14ac:dyDescent="0.2">
      <c r="A25" s="271"/>
      <c r="B25" s="283"/>
      <c r="C25" s="284"/>
      <c r="D25" s="260"/>
      <c r="E25" s="222">
        <v>2018</v>
      </c>
      <c r="F25" s="2"/>
      <c r="G25" s="2"/>
      <c r="H25" s="2"/>
      <c r="I25" s="2"/>
      <c r="J25" s="2"/>
      <c r="K25" s="489"/>
    </row>
    <row r="26" spans="1:26" x14ac:dyDescent="0.2">
      <c r="A26" s="271"/>
      <c r="B26" s="283"/>
      <c r="C26" s="284"/>
      <c r="D26" s="260"/>
      <c r="E26" s="222">
        <v>2019</v>
      </c>
      <c r="F26" s="2"/>
      <c r="G26" s="2"/>
      <c r="H26" s="2"/>
      <c r="I26" s="2"/>
      <c r="J26" s="2"/>
      <c r="K26" s="489"/>
    </row>
    <row r="27" spans="1:26" x14ac:dyDescent="0.2">
      <c r="A27" s="271"/>
      <c r="B27" s="283"/>
      <c r="C27" s="284"/>
      <c r="D27" s="260"/>
      <c r="E27" s="222">
        <v>2020</v>
      </c>
      <c r="F27" s="2"/>
      <c r="G27" s="2"/>
      <c r="H27" s="2"/>
      <c r="I27" s="2"/>
      <c r="J27" s="2"/>
      <c r="K27" s="489"/>
    </row>
    <row r="28" spans="1:26" ht="60" customHeight="1" x14ac:dyDescent="0.2">
      <c r="A28" s="271"/>
      <c r="B28" s="283"/>
      <c r="C28" s="284"/>
      <c r="D28" s="260"/>
      <c r="E28" s="18" t="s">
        <v>18</v>
      </c>
      <c r="F28" s="2"/>
      <c r="G28" s="2"/>
      <c r="H28" s="2"/>
      <c r="I28" s="2"/>
      <c r="J28" s="2"/>
      <c r="K28" s="489"/>
    </row>
    <row r="29" spans="1:26" ht="12.75" customHeight="1" x14ac:dyDescent="0.25">
      <c r="A29" s="271" t="s">
        <v>226</v>
      </c>
      <c r="B29" s="273" t="s">
        <v>117</v>
      </c>
      <c r="C29" s="272" t="s">
        <v>434</v>
      </c>
      <c r="D29" s="260" t="s">
        <v>450</v>
      </c>
      <c r="E29" s="222">
        <v>2015</v>
      </c>
      <c r="F29" s="7">
        <f>H29+I29</f>
        <v>505</v>
      </c>
      <c r="G29" s="7"/>
      <c r="H29" s="7">
        <v>500</v>
      </c>
      <c r="I29" s="7">
        <v>5</v>
      </c>
      <c r="J29" s="14"/>
      <c r="K29" s="489"/>
    </row>
    <row r="30" spans="1:26" x14ac:dyDescent="0.2">
      <c r="A30" s="271"/>
      <c r="B30" s="274"/>
      <c r="C30" s="284"/>
      <c r="D30" s="260"/>
      <c r="E30" s="222">
        <v>2016</v>
      </c>
      <c r="F30" s="14">
        <f t="shared" ref="F30:F35" si="0">SUM(G30:J30)</f>
        <v>0</v>
      </c>
      <c r="G30" s="14"/>
      <c r="H30" s="14">
        <v>0</v>
      </c>
      <c r="I30" s="14">
        <v>0</v>
      </c>
      <c r="J30" s="14"/>
      <c r="K30" s="489"/>
      <c r="L30" s="99"/>
    </row>
    <row r="31" spans="1:26" x14ac:dyDescent="0.2">
      <c r="A31" s="271"/>
      <c r="B31" s="274"/>
      <c r="C31" s="284"/>
      <c r="D31" s="260"/>
      <c r="E31" s="222">
        <v>2017</v>
      </c>
      <c r="F31" s="14">
        <f t="shared" si="0"/>
        <v>0</v>
      </c>
      <c r="G31" s="14"/>
      <c r="H31" s="14">
        <v>0</v>
      </c>
      <c r="I31" s="14">
        <v>0</v>
      </c>
      <c r="J31" s="14"/>
      <c r="K31" s="489"/>
    </row>
    <row r="32" spans="1:26" ht="16.5" customHeight="1" x14ac:dyDescent="0.2">
      <c r="A32" s="271"/>
      <c r="B32" s="274"/>
      <c r="C32" s="284"/>
      <c r="D32" s="260"/>
      <c r="E32" s="222">
        <v>2018</v>
      </c>
      <c r="F32" s="14">
        <f t="shared" si="0"/>
        <v>0</v>
      </c>
      <c r="G32" s="14"/>
      <c r="H32" s="14">
        <f>20165.4-20165.4</f>
        <v>0</v>
      </c>
      <c r="I32" s="14">
        <f>1062-1062</f>
        <v>0</v>
      </c>
      <c r="J32" s="14"/>
      <c r="K32" s="489"/>
      <c r="L32" s="99"/>
    </row>
    <row r="33" spans="1:33" x14ac:dyDescent="0.2">
      <c r="A33" s="271"/>
      <c r="B33" s="274"/>
      <c r="C33" s="284"/>
      <c r="D33" s="260"/>
      <c r="E33" s="222">
        <v>2019</v>
      </c>
      <c r="F33" s="14">
        <f t="shared" si="0"/>
        <v>38207.299999999996</v>
      </c>
      <c r="G33" s="14"/>
      <c r="H33" s="14">
        <f>33314.2+3854.9</f>
        <v>37169.1</v>
      </c>
      <c r="I33" s="14">
        <f>2246.5+425.5+126.1-1759.9</f>
        <v>1038.1999999999998</v>
      </c>
      <c r="J33" s="14"/>
      <c r="K33" s="489"/>
    </row>
    <row r="34" spans="1:33" ht="15" customHeight="1" x14ac:dyDescent="0.2">
      <c r="A34" s="271"/>
      <c r="B34" s="274"/>
      <c r="C34" s="284"/>
      <c r="D34" s="260"/>
      <c r="E34" s="222">
        <v>2020</v>
      </c>
      <c r="F34" s="14">
        <f t="shared" si="0"/>
        <v>2898.8999999999969</v>
      </c>
      <c r="G34" s="14"/>
      <c r="H34" s="14">
        <f>26550.9-7965.3+31981.1-45392-2304.8</f>
        <v>2869.8999999999969</v>
      </c>
      <c r="I34" s="14">
        <f>268.2+242.6-458.5-23.3</f>
        <v>28.999999999999954</v>
      </c>
      <c r="J34" s="14"/>
      <c r="K34" s="489"/>
    </row>
    <row r="35" spans="1:33" ht="15" customHeight="1" x14ac:dyDescent="0.2">
      <c r="A35" s="271"/>
      <c r="B35" s="274"/>
      <c r="C35" s="284"/>
      <c r="D35" s="260"/>
      <c r="E35" s="222">
        <v>2021</v>
      </c>
      <c r="F35" s="14">
        <f t="shared" si="0"/>
        <v>0</v>
      </c>
      <c r="G35" s="14"/>
      <c r="H35" s="14">
        <f>28419.8-8525.9-14879-5014.9</f>
        <v>0</v>
      </c>
      <c r="I35" s="14">
        <f>287.1-236.4-50.7</f>
        <v>0</v>
      </c>
      <c r="J35" s="14"/>
      <c r="K35" s="489"/>
    </row>
    <row r="36" spans="1:33" ht="15" customHeight="1" x14ac:dyDescent="0.2">
      <c r="A36" s="271"/>
      <c r="B36" s="274"/>
      <c r="C36" s="284"/>
      <c r="D36" s="260"/>
      <c r="E36" s="222">
        <v>2022</v>
      </c>
      <c r="F36" s="14">
        <f t="shared" ref="F36" si="1">SUM(G36:J36)</f>
        <v>0</v>
      </c>
      <c r="G36" s="14"/>
      <c r="H36" s="14">
        <f>42170-42170</f>
        <v>0</v>
      </c>
      <c r="I36" s="14">
        <f>426-426</f>
        <v>0</v>
      </c>
      <c r="J36" s="14"/>
      <c r="K36" s="489"/>
    </row>
    <row r="37" spans="1:33" ht="57" customHeight="1" x14ac:dyDescent="0.2">
      <c r="A37" s="271"/>
      <c r="B37" s="274"/>
      <c r="C37" s="284"/>
      <c r="D37" s="260"/>
      <c r="E37" s="18" t="s">
        <v>18</v>
      </c>
      <c r="F37" s="8">
        <f>SUM(F29:F36)</f>
        <v>41611.19999999999</v>
      </c>
      <c r="G37" s="8">
        <f>SUM(G29:G34)</f>
        <v>0</v>
      </c>
      <c r="H37" s="8">
        <f>SUM(H29:H36)</f>
        <v>40538.999999999993</v>
      </c>
      <c r="I37" s="8">
        <f>SUM(I29:I36)</f>
        <v>1072.1999999999998</v>
      </c>
      <c r="J37" s="14"/>
      <c r="K37" s="489"/>
    </row>
    <row r="38" spans="1:33" x14ac:dyDescent="0.2">
      <c r="A38" s="271" t="s">
        <v>228</v>
      </c>
      <c r="B38" s="273" t="s">
        <v>242</v>
      </c>
      <c r="C38" s="272" t="s">
        <v>391</v>
      </c>
      <c r="D38" s="260" t="s">
        <v>450</v>
      </c>
      <c r="E38" s="222">
        <v>2016</v>
      </c>
      <c r="F38" s="14">
        <f t="shared" ref="F38:F40" si="2">SUM(G38:I38)</f>
        <v>0</v>
      </c>
      <c r="G38" s="14"/>
      <c r="H38" s="14">
        <f>7375.9-7375.9</f>
        <v>0</v>
      </c>
      <c r="I38" s="14">
        <f>74.5-74.5</f>
        <v>0</v>
      </c>
      <c r="J38" s="14"/>
      <c r="K38" s="489"/>
      <c r="L38" s="99"/>
    </row>
    <row r="39" spans="1:33" ht="15" x14ac:dyDescent="0.25">
      <c r="A39" s="271"/>
      <c r="B39" s="273"/>
      <c r="C39" s="272"/>
      <c r="D39" s="260"/>
      <c r="E39" s="222">
        <v>2017</v>
      </c>
      <c r="F39" s="7">
        <f t="shared" si="2"/>
        <v>62.6</v>
      </c>
      <c r="G39" s="7"/>
      <c r="H39" s="7">
        <v>0</v>
      </c>
      <c r="I39" s="7">
        <v>62.6</v>
      </c>
      <c r="J39" s="14"/>
      <c r="K39" s="489"/>
      <c r="L39" s="99"/>
    </row>
    <row r="40" spans="1:33" ht="15" x14ac:dyDescent="0.25">
      <c r="A40" s="271"/>
      <c r="B40" s="273"/>
      <c r="C40" s="272"/>
      <c r="D40" s="260"/>
      <c r="E40" s="222">
        <v>2018</v>
      </c>
      <c r="F40" s="7">
        <f t="shared" si="2"/>
        <v>7450.5</v>
      </c>
      <c r="G40" s="7"/>
      <c r="H40" s="7">
        <v>7376</v>
      </c>
      <c r="I40" s="7">
        <v>74.5</v>
      </c>
      <c r="J40" s="14"/>
      <c r="K40" s="489"/>
      <c r="L40" s="99"/>
    </row>
    <row r="41" spans="1:33" ht="85.5" customHeight="1" x14ac:dyDescent="0.2">
      <c r="A41" s="271"/>
      <c r="B41" s="273"/>
      <c r="C41" s="272"/>
      <c r="D41" s="260"/>
      <c r="E41" s="18" t="s">
        <v>18</v>
      </c>
      <c r="F41" s="8">
        <f>SUM(F38:F40)</f>
        <v>7513.1</v>
      </c>
      <c r="G41" s="8">
        <f t="shared" ref="G41:I41" si="3">SUM(G38:G40)</f>
        <v>0</v>
      </c>
      <c r="H41" s="8">
        <f t="shared" si="3"/>
        <v>7376</v>
      </c>
      <c r="I41" s="8">
        <f t="shared" si="3"/>
        <v>137.1</v>
      </c>
      <c r="J41" s="14"/>
      <c r="K41" s="489"/>
      <c r="L41" s="99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</row>
    <row r="42" spans="1:33" ht="15" x14ac:dyDescent="0.25">
      <c r="A42" s="271" t="s">
        <v>258</v>
      </c>
      <c r="B42" s="273" t="s">
        <v>243</v>
      </c>
      <c r="C42" s="272" t="s">
        <v>435</v>
      </c>
      <c r="D42" s="260" t="s">
        <v>450</v>
      </c>
      <c r="E42" s="222">
        <v>2017</v>
      </c>
      <c r="F42" s="7">
        <f t="shared" ref="F42" si="4">SUM(G42:I42)</f>
        <v>2075</v>
      </c>
      <c r="G42" s="7"/>
      <c r="H42" s="7">
        <f>7425-5425</f>
        <v>2000</v>
      </c>
      <c r="I42" s="7">
        <v>75</v>
      </c>
      <c r="J42" s="14"/>
      <c r="K42" s="489"/>
      <c r="L42" s="99"/>
    </row>
    <row r="43" spans="1:33" ht="15" x14ac:dyDescent="0.25">
      <c r="A43" s="271"/>
      <c r="B43" s="273"/>
      <c r="C43" s="272"/>
      <c r="D43" s="260"/>
      <c r="E43" s="222">
        <v>2018</v>
      </c>
      <c r="F43" s="7">
        <f t="shared" ref="F43" si="5">SUM(G43:I43)</f>
        <v>7795.5</v>
      </c>
      <c r="G43" s="7"/>
      <c r="H43" s="7">
        <v>7717.5</v>
      </c>
      <c r="I43" s="7">
        <f>2285.5-2207.5</f>
        <v>78</v>
      </c>
      <c r="J43" s="14"/>
      <c r="K43" s="489"/>
      <c r="L43" s="99"/>
    </row>
    <row r="44" spans="1:33" ht="15" x14ac:dyDescent="0.25">
      <c r="A44" s="271"/>
      <c r="B44" s="273"/>
      <c r="C44" s="272"/>
      <c r="D44" s="260"/>
      <c r="E44" s="222">
        <v>2019</v>
      </c>
      <c r="F44" s="7">
        <f t="shared" ref="F44" si="6">SUM(G44:I44)</f>
        <v>0.8</v>
      </c>
      <c r="G44" s="7"/>
      <c r="H44" s="7">
        <v>0</v>
      </c>
      <c r="I44" s="7">
        <v>0.8</v>
      </c>
      <c r="J44" s="14"/>
      <c r="K44" s="489"/>
      <c r="L44" s="99"/>
    </row>
    <row r="45" spans="1:33" ht="117" customHeight="1" x14ac:dyDescent="0.2">
      <c r="A45" s="271"/>
      <c r="B45" s="273"/>
      <c r="C45" s="272"/>
      <c r="D45" s="260"/>
      <c r="E45" s="18" t="s">
        <v>18</v>
      </c>
      <c r="F45" s="8">
        <f>SUM(F42:F44)</f>
        <v>9871.2999999999993</v>
      </c>
      <c r="G45" s="8">
        <f>SUM(G42:G42)</f>
        <v>0</v>
      </c>
      <c r="H45" s="8">
        <f>SUM(H42:H44)</f>
        <v>9717.5</v>
      </c>
      <c r="I45" s="8">
        <f>SUM(I42:I44)</f>
        <v>153.80000000000001</v>
      </c>
      <c r="J45" s="14"/>
      <c r="K45" s="489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</row>
    <row r="46" spans="1:33" ht="15" x14ac:dyDescent="0.25">
      <c r="A46" s="271" t="s">
        <v>320</v>
      </c>
      <c r="B46" s="273" t="s">
        <v>381</v>
      </c>
      <c r="C46" s="272">
        <v>2017</v>
      </c>
      <c r="D46" s="260" t="s">
        <v>450</v>
      </c>
      <c r="E46" s="222">
        <v>2017</v>
      </c>
      <c r="F46" s="7">
        <f t="shared" ref="F46" si="7">SUM(G46:I46)</f>
        <v>1420.6</v>
      </c>
      <c r="G46" s="7"/>
      <c r="H46" s="7">
        <f>7375.9-7375.9</f>
        <v>0</v>
      </c>
      <c r="I46" s="7">
        <v>1420.6</v>
      </c>
      <c r="J46" s="14"/>
      <c r="K46" s="489"/>
      <c r="L46" s="99"/>
    </row>
    <row r="47" spans="1:33" ht="118.5" customHeight="1" x14ac:dyDescent="0.2">
      <c r="A47" s="271"/>
      <c r="B47" s="273"/>
      <c r="C47" s="272"/>
      <c r="D47" s="260"/>
      <c r="E47" s="18" t="s">
        <v>18</v>
      </c>
      <c r="F47" s="8">
        <f>SUM(F46:F46)</f>
        <v>1420.6</v>
      </c>
      <c r="G47" s="8">
        <f>SUM(G46:G46)</f>
        <v>0</v>
      </c>
      <c r="H47" s="8">
        <f>SUM(H46:H46)</f>
        <v>0</v>
      </c>
      <c r="I47" s="8">
        <f>SUM(I46:I46)</f>
        <v>1420.6</v>
      </c>
      <c r="J47" s="14"/>
      <c r="K47" s="489"/>
      <c r="L47" s="99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</row>
    <row r="48" spans="1:33" ht="24" customHeight="1" x14ac:dyDescent="0.2">
      <c r="A48" s="323" t="s">
        <v>21</v>
      </c>
      <c r="B48" s="323"/>
      <c r="C48" s="323"/>
      <c r="D48" s="323"/>
      <c r="E48" s="216"/>
      <c r="F48" s="8">
        <f>F28+F37+F41+F45+F47</f>
        <v>60416.19999999999</v>
      </c>
      <c r="G48" s="8">
        <f>G28+G37+G41+G45</f>
        <v>0</v>
      </c>
      <c r="H48" s="8">
        <f>H28+H37+H41+H45</f>
        <v>57632.499999999993</v>
      </c>
      <c r="I48" s="8">
        <f>I28+I37+I41+I45+I46</f>
        <v>2783.7</v>
      </c>
      <c r="J48" s="30"/>
      <c r="K48" s="219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</row>
    <row r="49" spans="1:26" ht="24.75" customHeight="1" x14ac:dyDescent="0.2">
      <c r="A49" s="339" t="s">
        <v>22</v>
      </c>
      <c r="B49" s="339"/>
      <c r="C49" s="339"/>
      <c r="D49" s="339"/>
      <c r="E49" s="339"/>
      <c r="F49" s="339"/>
      <c r="G49" s="339"/>
      <c r="H49" s="339"/>
      <c r="I49" s="339"/>
      <c r="J49" s="339"/>
      <c r="K49" s="33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8"/>
    </row>
    <row r="50" spans="1:26" ht="13.5" customHeight="1" x14ac:dyDescent="0.25">
      <c r="A50" s="307" t="s">
        <v>115</v>
      </c>
      <c r="B50" s="281" t="s">
        <v>23</v>
      </c>
      <c r="C50" s="282" t="s">
        <v>122</v>
      </c>
      <c r="D50" s="248" t="s">
        <v>449</v>
      </c>
      <c r="E50" s="208">
        <v>2015</v>
      </c>
      <c r="F50" s="143">
        <f>SUM(G50:I50)</f>
        <v>4863.4000000000005</v>
      </c>
      <c r="G50" s="143"/>
      <c r="H50" s="143">
        <v>4814.8</v>
      </c>
      <c r="I50" s="143">
        <v>48.6</v>
      </c>
      <c r="J50" s="12"/>
      <c r="K50" s="248" t="s">
        <v>130</v>
      </c>
      <c r="O50" s="107"/>
    </row>
    <row r="51" spans="1:26" ht="15" x14ac:dyDescent="0.25">
      <c r="A51" s="305"/>
      <c r="B51" s="274"/>
      <c r="C51" s="284"/>
      <c r="D51" s="249"/>
      <c r="E51" s="222">
        <v>2016</v>
      </c>
      <c r="F51" s="7"/>
      <c r="G51" s="7"/>
      <c r="H51" s="7"/>
      <c r="I51" s="7"/>
      <c r="J51" s="14"/>
      <c r="K51" s="249"/>
    </row>
    <row r="52" spans="1:26" ht="15" x14ac:dyDescent="0.25">
      <c r="A52" s="305"/>
      <c r="B52" s="274"/>
      <c r="C52" s="284"/>
      <c r="D52" s="249"/>
      <c r="E52" s="222">
        <v>2017</v>
      </c>
      <c r="F52" s="7"/>
      <c r="G52" s="7"/>
      <c r="H52" s="7"/>
      <c r="I52" s="7"/>
      <c r="J52" s="14"/>
      <c r="K52" s="249"/>
      <c r="L52" s="99"/>
    </row>
    <row r="53" spans="1:26" ht="15" x14ac:dyDescent="0.25">
      <c r="A53" s="305"/>
      <c r="B53" s="274"/>
      <c r="C53" s="284"/>
      <c r="D53" s="249"/>
      <c r="E53" s="222">
        <v>2018</v>
      </c>
      <c r="F53" s="7"/>
      <c r="G53" s="7"/>
      <c r="H53" s="7"/>
      <c r="I53" s="7"/>
      <c r="J53" s="14"/>
      <c r="K53" s="249"/>
    </row>
    <row r="54" spans="1:26" ht="15" x14ac:dyDescent="0.25">
      <c r="A54" s="305"/>
      <c r="B54" s="274"/>
      <c r="C54" s="284"/>
      <c r="D54" s="249"/>
      <c r="E54" s="222">
        <v>2019</v>
      </c>
      <c r="F54" s="7"/>
      <c r="G54" s="7"/>
      <c r="H54" s="7"/>
      <c r="I54" s="7"/>
      <c r="J54" s="14"/>
      <c r="K54" s="249"/>
    </row>
    <row r="55" spans="1:26" ht="15" x14ac:dyDescent="0.25">
      <c r="A55" s="305"/>
      <c r="B55" s="274"/>
      <c r="C55" s="284"/>
      <c r="D55" s="249"/>
      <c r="E55" s="222">
        <v>2020</v>
      </c>
      <c r="F55" s="7"/>
      <c r="G55" s="7"/>
      <c r="H55" s="7"/>
      <c r="I55" s="7"/>
      <c r="J55" s="14"/>
      <c r="K55" s="249"/>
    </row>
    <row r="56" spans="1:26" ht="47.25" customHeight="1" x14ac:dyDescent="0.2">
      <c r="A56" s="305"/>
      <c r="B56" s="275"/>
      <c r="C56" s="356"/>
      <c r="D56" s="250"/>
      <c r="E56" s="18" t="s">
        <v>18</v>
      </c>
      <c r="F56" s="8">
        <f>SUM(F50:F55)</f>
        <v>4863.4000000000005</v>
      </c>
      <c r="G56" s="8"/>
      <c r="H56" s="8">
        <f>SUM(H50:H55)</f>
        <v>4814.8</v>
      </c>
      <c r="I56" s="8">
        <f>SUM(I50:I55)</f>
        <v>48.6</v>
      </c>
      <c r="J56" s="14"/>
      <c r="K56" s="249"/>
    </row>
    <row r="57" spans="1:26" ht="12.75" customHeight="1" x14ac:dyDescent="0.25">
      <c r="A57" s="305" t="s">
        <v>259</v>
      </c>
      <c r="B57" s="273" t="s">
        <v>24</v>
      </c>
      <c r="C57" s="272">
        <v>2015</v>
      </c>
      <c r="D57" s="248" t="s">
        <v>449</v>
      </c>
      <c r="E57" s="222">
        <v>2015</v>
      </c>
      <c r="F57" s="7">
        <f>SUM(G57:I57)</f>
        <v>1538.4</v>
      </c>
      <c r="G57" s="7"/>
      <c r="H57" s="7"/>
      <c r="I57" s="7">
        <v>1538.4</v>
      </c>
      <c r="J57" s="14"/>
      <c r="K57" s="249"/>
    </row>
    <row r="58" spans="1:26" ht="55.5" customHeight="1" x14ac:dyDescent="0.2">
      <c r="A58" s="305"/>
      <c r="B58" s="275"/>
      <c r="C58" s="356"/>
      <c r="D58" s="250"/>
      <c r="E58" s="18" t="s">
        <v>18</v>
      </c>
      <c r="F58" s="8">
        <f>SUM(F57:F57)</f>
        <v>1538.4</v>
      </c>
      <c r="G58" s="8"/>
      <c r="H58" s="8"/>
      <c r="I58" s="8">
        <f>SUM(I57:I57)</f>
        <v>1538.4</v>
      </c>
      <c r="J58" s="14"/>
      <c r="K58" s="250"/>
    </row>
    <row r="59" spans="1:26" ht="15" x14ac:dyDescent="0.25">
      <c r="A59" s="305" t="s">
        <v>260</v>
      </c>
      <c r="B59" s="273" t="s">
        <v>25</v>
      </c>
      <c r="C59" s="276" t="s">
        <v>392</v>
      </c>
      <c r="D59" s="248" t="s">
        <v>449</v>
      </c>
      <c r="E59" s="222">
        <v>2015</v>
      </c>
      <c r="F59" s="7">
        <f t="shared" ref="F59:F64" si="8">SUM(G59:J59)</f>
        <v>21031.8</v>
      </c>
      <c r="G59" s="7"/>
      <c r="H59" s="7"/>
      <c r="I59" s="7">
        <f>22881.8-1000-850</f>
        <v>21031.8</v>
      </c>
      <c r="J59" s="14"/>
      <c r="K59" s="248" t="s">
        <v>132</v>
      </c>
    </row>
    <row r="60" spans="1:26" ht="15" x14ac:dyDescent="0.25">
      <c r="A60" s="305"/>
      <c r="B60" s="274"/>
      <c r="C60" s="261"/>
      <c r="D60" s="249"/>
      <c r="E60" s="222">
        <v>2016</v>
      </c>
      <c r="F60" s="7">
        <f t="shared" si="8"/>
        <v>21444.400000000001</v>
      </c>
      <c r="G60" s="7"/>
      <c r="H60" s="7"/>
      <c r="I60" s="7">
        <f>22597.2-180.3-509-463.5</f>
        <v>21444.400000000001</v>
      </c>
      <c r="J60" s="14"/>
      <c r="K60" s="325"/>
      <c r="L60" s="28"/>
      <c r="M60" s="28"/>
      <c r="N60" s="113" t="s">
        <v>319</v>
      </c>
      <c r="O60" s="115"/>
      <c r="P60" s="113" t="s">
        <v>318</v>
      </c>
      <c r="Q60" s="114"/>
      <c r="R60" s="114"/>
      <c r="S60" s="115"/>
    </row>
    <row r="61" spans="1:26" ht="15" x14ac:dyDescent="0.25">
      <c r="A61" s="305"/>
      <c r="B61" s="274"/>
      <c r="C61" s="261"/>
      <c r="D61" s="249"/>
      <c r="E61" s="222">
        <v>2017</v>
      </c>
      <c r="F61" s="7">
        <f t="shared" si="8"/>
        <v>44377.700000000004</v>
      </c>
      <c r="G61" s="7"/>
      <c r="H61" s="7"/>
      <c r="I61" s="7">
        <f>21166.7+19807.9+3403.1</f>
        <v>44377.700000000004</v>
      </c>
      <c r="J61" s="14"/>
      <c r="K61" s="325"/>
      <c r="L61" s="99" t="s">
        <v>348</v>
      </c>
      <c r="M61" s="106"/>
      <c r="N61" s="108" t="s">
        <v>315</v>
      </c>
      <c r="O61" s="116">
        <v>21166.7</v>
      </c>
      <c r="P61" s="108" t="s">
        <v>316</v>
      </c>
      <c r="Q61" s="110">
        <v>11932.5</v>
      </c>
      <c r="R61" s="111" t="s">
        <v>317</v>
      </c>
      <c r="S61" s="112">
        <v>7875.4</v>
      </c>
    </row>
    <row r="62" spans="1:26" ht="15" x14ac:dyDescent="0.25">
      <c r="A62" s="305"/>
      <c r="B62" s="274"/>
      <c r="C62" s="261"/>
      <c r="D62" s="249"/>
      <c r="E62" s="222">
        <v>2018</v>
      </c>
      <c r="F62" s="7">
        <f t="shared" si="8"/>
        <v>48805.5</v>
      </c>
      <c r="G62" s="7"/>
      <c r="H62" s="7"/>
      <c r="I62" s="7">
        <f>47082.6+1722.9</f>
        <v>48805.5</v>
      </c>
      <c r="J62" s="14"/>
      <c r="K62" s="249"/>
      <c r="L62" s="99"/>
      <c r="M62" s="106"/>
    </row>
    <row r="63" spans="1:26" ht="15" x14ac:dyDescent="0.25">
      <c r="A63" s="305"/>
      <c r="B63" s="274"/>
      <c r="C63" s="261"/>
      <c r="D63" s="249"/>
      <c r="E63" s="222">
        <v>2019</v>
      </c>
      <c r="F63" s="7">
        <f t="shared" si="8"/>
        <v>78924.100000000006</v>
      </c>
      <c r="G63" s="7"/>
      <c r="H63" s="7"/>
      <c r="I63" s="7">
        <f>68983.8+7226.7+2500+213.6</f>
        <v>78924.100000000006</v>
      </c>
      <c r="J63" s="14"/>
      <c r="K63" s="249"/>
      <c r="L63" s="99"/>
      <c r="M63" s="106"/>
    </row>
    <row r="64" spans="1:26" ht="15" x14ac:dyDescent="0.25">
      <c r="A64" s="305"/>
      <c r="B64" s="274"/>
      <c r="C64" s="261"/>
      <c r="D64" s="249"/>
      <c r="E64" s="222">
        <v>2020</v>
      </c>
      <c r="F64" s="7">
        <f t="shared" si="8"/>
        <v>71179.7</v>
      </c>
      <c r="G64" s="7"/>
      <c r="H64" s="7"/>
      <c r="I64" s="7">
        <f>30974.9-25930.8+61487.7+4647.9</f>
        <v>71179.7</v>
      </c>
      <c r="J64" s="14"/>
      <c r="K64" s="249"/>
      <c r="M64" s="28"/>
    </row>
    <row r="65" spans="1:14" ht="15" x14ac:dyDescent="0.25">
      <c r="A65" s="305"/>
      <c r="B65" s="274"/>
      <c r="C65" s="261"/>
      <c r="D65" s="249"/>
      <c r="E65" s="222">
        <v>2021</v>
      </c>
      <c r="F65" s="7">
        <f t="shared" ref="F65" si="9">SUM(G65:J65)</f>
        <v>76626.100000000006</v>
      </c>
      <c r="G65" s="7"/>
      <c r="H65" s="7"/>
      <c r="I65" s="7">
        <f>13344.6+7005.9+56275.6</f>
        <v>76626.100000000006</v>
      </c>
      <c r="J65" s="14"/>
      <c r="K65" s="249"/>
      <c r="M65" s="28"/>
    </row>
    <row r="66" spans="1:14" ht="15" x14ac:dyDescent="0.25">
      <c r="A66" s="305"/>
      <c r="B66" s="274"/>
      <c r="C66" s="261"/>
      <c r="D66" s="249"/>
      <c r="E66" s="222">
        <v>2022</v>
      </c>
      <c r="F66" s="7">
        <f t="shared" ref="F66" si="10">SUM(G66:J66)</f>
        <v>25339.7</v>
      </c>
      <c r="G66" s="7"/>
      <c r="H66" s="7"/>
      <c r="I66" s="7">
        <f>11690.4-11690.4+25339.7</f>
        <v>25339.7</v>
      </c>
      <c r="J66" s="14"/>
      <c r="K66" s="249"/>
      <c r="M66" s="28"/>
    </row>
    <row r="67" spans="1:14" ht="15" x14ac:dyDescent="0.25">
      <c r="A67" s="305"/>
      <c r="B67" s="274"/>
      <c r="C67" s="261"/>
      <c r="D67" s="249"/>
      <c r="E67" s="222">
        <v>2023</v>
      </c>
      <c r="F67" s="7">
        <f t="shared" ref="F67" si="11">SUM(G67:J67)</f>
        <v>7368</v>
      </c>
      <c r="G67" s="7"/>
      <c r="H67" s="7"/>
      <c r="I67" s="7">
        <f>12158-4790</f>
        <v>7368</v>
      </c>
      <c r="J67" s="14"/>
      <c r="K67" s="249"/>
      <c r="M67" s="28"/>
    </row>
    <row r="68" spans="1:14" ht="15" x14ac:dyDescent="0.25">
      <c r="A68" s="305"/>
      <c r="B68" s="274"/>
      <c r="C68" s="261"/>
      <c r="D68" s="249"/>
      <c r="E68" s="222">
        <v>2024</v>
      </c>
      <c r="F68" s="7">
        <f t="shared" ref="F68" si="12">SUM(G68:J68)</f>
        <v>12644.3</v>
      </c>
      <c r="G68" s="7"/>
      <c r="H68" s="7"/>
      <c r="I68" s="7">
        <v>12644.3</v>
      </c>
      <c r="J68" s="14"/>
      <c r="K68" s="249"/>
      <c r="M68" s="28"/>
    </row>
    <row r="69" spans="1:14" ht="15" x14ac:dyDescent="0.25">
      <c r="A69" s="305"/>
      <c r="B69" s="274"/>
      <c r="C69" s="261"/>
      <c r="D69" s="249"/>
      <c r="E69" s="222">
        <v>2025</v>
      </c>
      <c r="F69" s="7">
        <f t="shared" ref="F69" si="13">SUM(G69:J69)</f>
        <v>13150.1</v>
      </c>
      <c r="G69" s="7"/>
      <c r="H69" s="7"/>
      <c r="I69" s="7">
        <v>13150.1</v>
      </c>
      <c r="J69" s="14"/>
      <c r="K69" s="249"/>
      <c r="M69" s="28"/>
    </row>
    <row r="70" spans="1:14" ht="38.25" customHeight="1" x14ac:dyDescent="0.2">
      <c r="A70" s="305"/>
      <c r="B70" s="274"/>
      <c r="C70" s="277"/>
      <c r="D70" s="250"/>
      <c r="E70" s="18" t="s">
        <v>18</v>
      </c>
      <c r="F70" s="8">
        <f>SUM(F59:F69)</f>
        <v>420891.4</v>
      </c>
      <c r="G70" s="8"/>
      <c r="H70" s="8"/>
      <c r="I70" s="8">
        <f>SUM(I59:I69)</f>
        <v>420891.4</v>
      </c>
      <c r="J70" s="13"/>
      <c r="K70" s="250"/>
    </row>
    <row r="71" spans="1:14" ht="15" x14ac:dyDescent="0.25">
      <c r="A71" s="305" t="s">
        <v>261</v>
      </c>
      <c r="B71" s="273" t="s">
        <v>244</v>
      </c>
      <c r="C71" s="276" t="s">
        <v>436</v>
      </c>
      <c r="D71" s="248" t="s">
        <v>449</v>
      </c>
      <c r="E71" s="222">
        <v>2017</v>
      </c>
      <c r="F71" s="7">
        <f t="shared" ref="F71:F74" si="14">SUM(G71:J71)</f>
        <v>10971.099999999999</v>
      </c>
      <c r="G71" s="7"/>
      <c r="H71" s="7">
        <f>20253.8-8128.5-1154.2</f>
        <v>10971.099999999999</v>
      </c>
      <c r="I71" s="7"/>
      <c r="J71" s="14"/>
      <c r="K71" s="248" t="s">
        <v>255</v>
      </c>
      <c r="L71" s="99" t="s">
        <v>307</v>
      </c>
      <c r="M71" s="4">
        <v>8128.5</v>
      </c>
      <c r="N71" s="99"/>
    </row>
    <row r="72" spans="1:14" ht="15" x14ac:dyDescent="0.25">
      <c r="A72" s="305"/>
      <c r="B72" s="274"/>
      <c r="C72" s="261"/>
      <c r="D72" s="249"/>
      <c r="E72" s="222">
        <v>2018</v>
      </c>
      <c r="F72" s="7">
        <f t="shared" si="14"/>
        <v>11496.8</v>
      </c>
      <c r="G72" s="7"/>
      <c r="H72" s="7">
        <f>17346.3-5849.5</f>
        <v>11496.8</v>
      </c>
      <c r="I72" s="7"/>
      <c r="J72" s="14"/>
      <c r="K72" s="249"/>
    </row>
    <row r="73" spans="1:14" ht="15" x14ac:dyDescent="0.25">
      <c r="A73" s="305"/>
      <c r="B73" s="274"/>
      <c r="C73" s="261"/>
      <c r="D73" s="249"/>
      <c r="E73" s="222">
        <v>2019</v>
      </c>
      <c r="F73" s="7">
        <f t="shared" si="14"/>
        <v>11964.9</v>
      </c>
      <c r="G73" s="7"/>
      <c r="H73" s="7">
        <f>13556.5-459.9-1131.7</f>
        <v>11964.9</v>
      </c>
      <c r="I73" s="7"/>
      <c r="J73" s="14"/>
      <c r="K73" s="249"/>
      <c r="M73" s="106"/>
    </row>
    <row r="74" spans="1:14" ht="15" x14ac:dyDescent="0.25">
      <c r="A74" s="305"/>
      <c r="B74" s="274"/>
      <c r="C74" s="261"/>
      <c r="D74" s="249"/>
      <c r="E74" s="222">
        <v>2020</v>
      </c>
      <c r="F74" s="7">
        <f t="shared" si="14"/>
        <v>10446.4</v>
      </c>
      <c r="G74" s="7"/>
      <c r="H74" s="7">
        <f>14156.5-527.4-1982.7-1200</f>
        <v>10446.4</v>
      </c>
      <c r="I74" s="7"/>
      <c r="J74" s="14"/>
      <c r="K74" s="249"/>
      <c r="L74" s="99"/>
      <c r="M74" s="106"/>
    </row>
    <row r="75" spans="1:14" ht="15" x14ac:dyDescent="0.25">
      <c r="A75" s="305"/>
      <c r="B75" s="274"/>
      <c r="C75" s="261"/>
      <c r="D75" s="249"/>
      <c r="E75" s="222">
        <v>2021</v>
      </c>
      <c r="F75" s="7">
        <f t="shared" ref="F75:F78" si="15">SUM(G75:J75)</f>
        <v>11065.900000000001</v>
      </c>
      <c r="G75" s="7"/>
      <c r="H75" s="7">
        <f>14156.5-527.4-3763.2+1200</f>
        <v>11065.900000000001</v>
      </c>
      <c r="I75" s="7"/>
      <c r="J75" s="14"/>
      <c r="K75" s="249"/>
      <c r="L75" s="99" t="s">
        <v>307</v>
      </c>
      <c r="M75" s="4">
        <v>8128.5</v>
      </c>
      <c r="N75" s="99"/>
    </row>
    <row r="76" spans="1:14" ht="15" x14ac:dyDescent="0.25">
      <c r="A76" s="305"/>
      <c r="B76" s="274"/>
      <c r="C76" s="261"/>
      <c r="D76" s="249"/>
      <c r="E76" s="222">
        <v>2022</v>
      </c>
      <c r="F76" s="7">
        <f t="shared" si="15"/>
        <v>11065.900000000001</v>
      </c>
      <c r="G76" s="7"/>
      <c r="H76" s="7">
        <f>15000-1370.9-3763.2+1200</f>
        <v>11065.900000000001</v>
      </c>
      <c r="I76" s="7"/>
      <c r="J76" s="14"/>
      <c r="K76" s="249"/>
    </row>
    <row r="77" spans="1:14" ht="15" x14ac:dyDescent="0.25">
      <c r="A77" s="305"/>
      <c r="B77" s="274"/>
      <c r="C77" s="261"/>
      <c r="D77" s="249"/>
      <c r="E77" s="222">
        <v>2023</v>
      </c>
      <c r="F77" s="7">
        <f t="shared" si="15"/>
        <v>11065.9</v>
      </c>
      <c r="G77" s="7"/>
      <c r="H77" s="7">
        <f>15690-5824.1+1200</f>
        <v>11065.9</v>
      </c>
      <c r="I77" s="7"/>
      <c r="J77" s="14"/>
      <c r="K77" s="249"/>
      <c r="M77" s="106"/>
    </row>
    <row r="78" spans="1:14" ht="15" x14ac:dyDescent="0.25">
      <c r="A78" s="305"/>
      <c r="B78" s="274"/>
      <c r="C78" s="261"/>
      <c r="D78" s="249"/>
      <c r="E78" s="222">
        <v>2024</v>
      </c>
      <c r="F78" s="7">
        <f t="shared" si="15"/>
        <v>16411.7</v>
      </c>
      <c r="G78" s="7"/>
      <c r="H78" s="7">
        <v>16411.7</v>
      </c>
      <c r="I78" s="7"/>
      <c r="J78" s="14"/>
      <c r="K78" s="249"/>
      <c r="L78" s="99"/>
      <c r="M78" s="106"/>
    </row>
    <row r="79" spans="1:14" ht="15" x14ac:dyDescent="0.25">
      <c r="A79" s="305"/>
      <c r="B79" s="274"/>
      <c r="C79" s="261"/>
      <c r="D79" s="249"/>
      <c r="E79" s="222">
        <v>2025</v>
      </c>
      <c r="F79" s="7">
        <f t="shared" ref="F79" si="16">SUM(G79:J79)</f>
        <v>17166.7</v>
      </c>
      <c r="G79" s="7"/>
      <c r="H79" s="7">
        <v>17166.7</v>
      </c>
      <c r="I79" s="7"/>
      <c r="J79" s="14"/>
      <c r="K79" s="249"/>
      <c r="L79" s="99"/>
      <c r="M79" s="106"/>
    </row>
    <row r="80" spans="1:14" ht="51.75" customHeight="1" x14ac:dyDescent="0.2">
      <c r="A80" s="305"/>
      <c r="B80" s="274"/>
      <c r="C80" s="277"/>
      <c r="D80" s="250"/>
      <c r="E80" s="18" t="s">
        <v>18</v>
      </c>
      <c r="F80" s="8">
        <f>SUM(F71:F79)</f>
        <v>111655.29999999999</v>
      </c>
      <c r="G80" s="8"/>
      <c r="H80" s="8">
        <f>SUM(H71:H79)</f>
        <v>111655.29999999999</v>
      </c>
      <c r="I80" s="8"/>
      <c r="J80" s="13"/>
      <c r="K80" s="250"/>
    </row>
    <row r="81" spans="1:36" ht="14.25" x14ac:dyDescent="0.2">
      <c r="A81" s="323" t="s">
        <v>26</v>
      </c>
      <c r="B81" s="323"/>
      <c r="C81" s="323"/>
      <c r="D81" s="323"/>
      <c r="E81" s="216"/>
      <c r="F81" s="8">
        <f>F56+F58+F70+F80</f>
        <v>538948.5</v>
      </c>
      <c r="G81" s="8"/>
      <c r="H81" s="8">
        <f>H56+H80</f>
        <v>116470.09999999999</v>
      </c>
      <c r="I81" s="8">
        <f>I56+I58+I70</f>
        <v>422478.4</v>
      </c>
      <c r="J81" s="30"/>
      <c r="K81" s="216"/>
    </row>
    <row r="82" spans="1:36" ht="15" thickBot="1" x14ac:dyDescent="0.25">
      <c r="A82" s="418" t="s">
        <v>27</v>
      </c>
      <c r="B82" s="379"/>
      <c r="C82" s="379"/>
      <c r="D82" s="379"/>
      <c r="E82" s="379"/>
      <c r="F82" s="379"/>
      <c r="G82" s="379"/>
      <c r="H82" s="379"/>
      <c r="I82" s="379"/>
      <c r="J82" s="379"/>
      <c r="K82" s="379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2"/>
    </row>
    <row r="83" spans="1:36" ht="15" x14ac:dyDescent="0.25">
      <c r="A83" s="307" t="s">
        <v>262</v>
      </c>
      <c r="B83" s="482" t="s">
        <v>428</v>
      </c>
      <c r="C83" s="276" t="s">
        <v>122</v>
      </c>
      <c r="D83" s="248" t="s">
        <v>450</v>
      </c>
      <c r="E83" s="208">
        <v>2015</v>
      </c>
      <c r="F83" s="143">
        <f>SUM(G83:I83)</f>
        <v>2018.1000000000001</v>
      </c>
      <c r="G83" s="143"/>
      <c r="H83" s="143">
        <v>1997.9</v>
      </c>
      <c r="I83" s="143">
        <v>20.2</v>
      </c>
      <c r="J83" s="12"/>
      <c r="K83" s="248" t="s">
        <v>404</v>
      </c>
      <c r="L83" s="212"/>
      <c r="M83" s="212"/>
      <c r="N83" s="212"/>
      <c r="O83" s="212"/>
      <c r="P83" s="212"/>
      <c r="Q83" s="212"/>
      <c r="R83" s="212"/>
      <c r="S83" s="212"/>
      <c r="T83" s="212"/>
      <c r="U83" s="212"/>
      <c r="V83" s="212"/>
      <c r="W83" s="212"/>
      <c r="X83" s="212"/>
      <c r="Y83" s="212"/>
      <c r="Z83" s="212"/>
      <c r="AA83" s="212"/>
      <c r="AB83" s="212"/>
      <c r="AC83" s="212"/>
      <c r="AD83" s="212"/>
      <c r="AE83" s="212"/>
      <c r="AF83" s="212"/>
      <c r="AG83" s="212"/>
      <c r="AH83" s="212"/>
      <c r="AI83" s="212"/>
      <c r="AJ83" s="212"/>
    </row>
    <row r="84" spans="1:36" ht="15" x14ac:dyDescent="0.25">
      <c r="A84" s="305"/>
      <c r="B84" s="483"/>
      <c r="C84" s="261"/>
      <c r="D84" s="249"/>
      <c r="E84" s="222">
        <v>2016</v>
      </c>
      <c r="F84" s="143">
        <f t="shared" ref="F84:F86" si="17">SUM(G84:I84)</f>
        <v>0</v>
      </c>
      <c r="G84" s="7"/>
      <c r="H84" s="7">
        <v>0</v>
      </c>
      <c r="I84" s="7">
        <v>0</v>
      </c>
      <c r="J84" s="14"/>
      <c r="K84" s="249"/>
      <c r="L84" s="212"/>
      <c r="M84" s="212"/>
      <c r="N84" s="212"/>
      <c r="O84" s="212"/>
      <c r="P84" s="212"/>
      <c r="Q84" s="212"/>
      <c r="R84" s="212"/>
      <c r="S84" s="212"/>
      <c r="T84" s="212"/>
      <c r="U84" s="212"/>
      <c r="V84" s="212"/>
      <c r="W84" s="212"/>
      <c r="X84" s="212"/>
      <c r="Y84" s="212"/>
      <c r="Z84" s="212"/>
      <c r="AA84" s="212"/>
      <c r="AB84" s="212"/>
      <c r="AC84" s="212"/>
      <c r="AD84" s="212"/>
      <c r="AE84" s="212"/>
      <c r="AF84" s="212"/>
      <c r="AG84" s="212"/>
      <c r="AH84" s="212"/>
      <c r="AI84" s="212"/>
      <c r="AJ84" s="212"/>
    </row>
    <row r="85" spans="1:36" ht="15" x14ac:dyDescent="0.25">
      <c r="A85" s="305"/>
      <c r="B85" s="483"/>
      <c r="C85" s="261"/>
      <c r="D85" s="249"/>
      <c r="E85" s="222">
        <v>2017</v>
      </c>
      <c r="F85" s="143">
        <f t="shared" si="17"/>
        <v>0</v>
      </c>
      <c r="G85" s="7"/>
      <c r="H85" s="7">
        <f>23675-23675</f>
        <v>0</v>
      </c>
      <c r="I85" s="7">
        <f>239.1-239.1</f>
        <v>0</v>
      </c>
      <c r="J85" s="14"/>
      <c r="K85" s="249"/>
      <c r="L85" s="211"/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2"/>
      <c r="AH85" s="212"/>
      <c r="AI85" s="212"/>
      <c r="AJ85" s="212"/>
    </row>
    <row r="86" spans="1:36" ht="15" x14ac:dyDescent="0.25">
      <c r="A86" s="305"/>
      <c r="B86" s="483"/>
      <c r="C86" s="261"/>
      <c r="D86" s="249"/>
      <c r="E86" s="222">
        <v>2018</v>
      </c>
      <c r="F86" s="143">
        <f t="shared" si="17"/>
        <v>0</v>
      </c>
      <c r="G86" s="7"/>
      <c r="H86" s="7">
        <v>0</v>
      </c>
      <c r="I86" s="7">
        <v>0</v>
      </c>
      <c r="J86" s="14"/>
      <c r="K86" s="249"/>
      <c r="L86" s="99"/>
      <c r="M86" s="212"/>
      <c r="N86" s="212"/>
      <c r="O86" s="212"/>
      <c r="P86" s="212"/>
      <c r="Q86" s="212"/>
      <c r="R86" s="212"/>
      <c r="S86" s="212"/>
      <c r="T86" s="212"/>
      <c r="U86" s="212"/>
      <c r="V86" s="212"/>
      <c r="W86" s="212"/>
      <c r="X86" s="212"/>
      <c r="Y86" s="212"/>
      <c r="Z86" s="212"/>
      <c r="AA86" s="212"/>
      <c r="AB86" s="212"/>
      <c r="AC86" s="212"/>
      <c r="AD86" s="212"/>
      <c r="AE86" s="212"/>
      <c r="AF86" s="212"/>
      <c r="AG86" s="212"/>
      <c r="AH86" s="212"/>
      <c r="AI86" s="212"/>
      <c r="AJ86" s="212"/>
    </row>
    <row r="87" spans="1:36" ht="15" x14ac:dyDescent="0.25">
      <c r="A87" s="305"/>
      <c r="B87" s="483"/>
      <c r="C87" s="261"/>
      <c r="D87" s="249"/>
      <c r="E87" s="222">
        <v>2019</v>
      </c>
      <c r="F87" s="7">
        <f t="shared" ref="F87:F93" si="18">H87+I87</f>
        <v>1137.4000000000001</v>
      </c>
      <c r="G87" s="7"/>
      <c r="H87" s="7">
        <v>1126</v>
      </c>
      <c r="I87" s="7">
        <v>11.4</v>
      </c>
      <c r="J87" s="14"/>
      <c r="K87" s="249"/>
      <c r="L87" s="212"/>
      <c r="M87" s="212"/>
      <c r="N87" s="212"/>
      <c r="O87" s="212"/>
      <c r="P87" s="212"/>
      <c r="Q87" s="212"/>
      <c r="R87" s="212"/>
      <c r="S87" s="212"/>
      <c r="T87" s="212"/>
      <c r="U87" s="212"/>
      <c r="V87" s="212"/>
      <c r="W87" s="212"/>
      <c r="X87" s="212"/>
      <c r="Y87" s="212"/>
      <c r="Z87" s="212"/>
      <c r="AA87" s="212"/>
      <c r="AB87" s="212"/>
      <c r="AC87" s="212"/>
      <c r="AD87" s="212"/>
      <c r="AE87" s="212"/>
      <c r="AF87" s="212"/>
      <c r="AG87" s="212"/>
      <c r="AH87" s="212"/>
      <c r="AI87" s="212"/>
      <c r="AJ87" s="212"/>
    </row>
    <row r="88" spans="1:36" ht="15" x14ac:dyDescent="0.25">
      <c r="A88" s="305"/>
      <c r="B88" s="483"/>
      <c r="C88" s="261"/>
      <c r="D88" s="249"/>
      <c r="E88" s="222">
        <v>2020</v>
      </c>
      <c r="F88" s="7">
        <f t="shared" si="18"/>
        <v>3788.5000000000005</v>
      </c>
      <c r="G88" s="7"/>
      <c r="H88" s="7">
        <f>4360.2+5077-5897.1+210.5</f>
        <v>3750.6000000000004</v>
      </c>
      <c r="I88" s="7">
        <f>44+51.4-59.6+2.1</f>
        <v>37.900000000000006</v>
      </c>
      <c r="J88" s="14"/>
      <c r="K88" s="249"/>
      <c r="L88" s="212"/>
      <c r="M88" s="212"/>
      <c r="N88" s="212"/>
      <c r="O88" s="212"/>
      <c r="P88" s="212"/>
      <c r="Q88" s="212"/>
      <c r="R88" s="212"/>
      <c r="S88" s="212"/>
      <c r="T88" s="212"/>
      <c r="U88" s="212"/>
      <c r="V88" s="212"/>
      <c r="W88" s="212"/>
      <c r="X88" s="212"/>
      <c r="Y88" s="212"/>
      <c r="Z88" s="212"/>
      <c r="AA88" s="212"/>
      <c r="AB88" s="212"/>
      <c r="AC88" s="212"/>
      <c r="AD88" s="212"/>
      <c r="AE88" s="212"/>
      <c r="AF88" s="212"/>
      <c r="AG88" s="212"/>
      <c r="AH88" s="212"/>
      <c r="AI88" s="212"/>
      <c r="AJ88" s="212"/>
    </row>
    <row r="89" spans="1:36" ht="15" x14ac:dyDescent="0.25">
      <c r="A89" s="305"/>
      <c r="B89" s="483"/>
      <c r="C89" s="261"/>
      <c r="D89" s="249"/>
      <c r="E89" s="228">
        <v>2021</v>
      </c>
      <c r="F89" s="7">
        <f t="shared" si="18"/>
        <v>3293.8</v>
      </c>
      <c r="G89" s="7"/>
      <c r="H89" s="7">
        <v>3260.8</v>
      </c>
      <c r="I89" s="7">
        <v>33</v>
      </c>
      <c r="J89" s="14"/>
      <c r="K89" s="249"/>
      <c r="L89" s="230"/>
      <c r="M89" s="230"/>
      <c r="N89" s="230"/>
      <c r="O89" s="230"/>
      <c r="P89" s="230"/>
      <c r="Q89" s="230"/>
      <c r="R89" s="230"/>
      <c r="S89" s="230"/>
      <c r="T89" s="230"/>
      <c r="U89" s="230"/>
      <c r="V89" s="230"/>
      <c r="W89" s="230"/>
      <c r="X89" s="230"/>
      <c r="Y89" s="230"/>
      <c r="Z89" s="230"/>
      <c r="AA89" s="230"/>
      <c r="AB89" s="230"/>
      <c r="AC89" s="230"/>
      <c r="AD89" s="230"/>
      <c r="AE89" s="230"/>
      <c r="AF89" s="230"/>
      <c r="AG89" s="230"/>
      <c r="AH89" s="230"/>
      <c r="AI89" s="230"/>
      <c r="AJ89" s="230"/>
    </row>
    <row r="90" spans="1:36" ht="15" x14ac:dyDescent="0.25">
      <c r="A90" s="305"/>
      <c r="B90" s="483"/>
      <c r="C90" s="261"/>
      <c r="D90" s="249"/>
      <c r="E90" s="228">
        <v>2022</v>
      </c>
      <c r="F90" s="7">
        <f t="shared" si="18"/>
        <v>0</v>
      </c>
      <c r="G90" s="7"/>
      <c r="H90" s="7">
        <v>0</v>
      </c>
      <c r="I90" s="7">
        <v>0</v>
      </c>
      <c r="J90" s="14"/>
      <c r="K90" s="249"/>
      <c r="L90" s="230"/>
      <c r="M90" s="230"/>
      <c r="N90" s="230"/>
      <c r="O90" s="230"/>
      <c r="P90" s="230"/>
      <c r="Q90" s="230"/>
      <c r="R90" s="230"/>
      <c r="S90" s="230"/>
      <c r="T90" s="230"/>
      <c r="U90" s="230"/>
      <c r="V90" s="230"/>
      <c r="W90" s="230"/>
      <c r="X90" s="230"/>
      <c r="Y90" s="230"/>
      <c r="Z90" s="230"/>
      <c r="AA90" s="230"/>
      <c r="AB90" s="230"/>
      <c r="AC90" s="230"/>
      <c r="AD90" s="230"/>
      <c r="AE90" s="230"/>
      <c r="AF90" s="230"/>
      <c r="AG90" s="230"/>
      <c r="AH90" s="230"/>
      <c r="AI90" s="230"/>
      <c r="AJ90" s="230"/>
    </row>
    <row r="91" spans="1:36" ht="15" x14ac:dyDescent="0.25">
      <c r="A91" s="305"/>
      <c r="B91" s="483"/>
      <c r="C91" s="261"/>
      <c r="D91" s="249"/>
      <c r="E91" s="228">
        <v>2023</v>
      </c>
      <c r="F91" s="7">
        <f t="shared" si="18"/>
        <v>0</v>
      </c>
      <c r="G91" s="7"/>
      <c r="H91" s="7">
        <v>0</v>
      </c>
      <c r="I91" s="7">
        <v>0</v>
      </c>
      <c r="J91" s="14"/>
      <c r="K91" s="249"/>
      <c r="L91" s="230"/>
      <c r="M91" s="230"/>
      <c r="N91" s="230"/>
      <c r="O91" s="230"/>
      <c r="P91" s="230"/>
      <c r="Q91" s="230"/>
      <c r="R91" s="230"/>
      <c r="S91" s="230"/>
      <c r="T91" s="230"/>
      <c r="U91" s="230"/>
      <c r="V91" s="230"/>
      <c r="W91" s="230"/>
      <c r="X91" s="230"/>
      <c r="Y91" s="230"/>
      <c r="Z91" s="230"/>
      <c r="AA91" s="230"/>
      <c r="AB91" s="230"/>
      <c r="AC91" s="230"/>
      <c r="AD91" s="230"/>
      <c r="AE91" s="230"/>
      <c r="AF91" s="230"/>
      <c r="AG91" s="230"/>
      <c r="AH91" s="230"/>
      <c r="AI91" s="230"/>
      <c r="AJ91" s="230"/>
    </row>
    <row r="92" spans="1:36" ht="15" x14ac:dyDescent="0.25">
      <c r="A92" s="305"/>
      <c r="B92" s="483"/>
      <c r="C92" s="261"/>
      <c r="D92" s="249"/>
      <c r="E92" s="228">
        <v>2024</v>
      </c>
      <c r="F92" s="7">
        <f t="shared" si="18"/>
        <v>0</v>
      </c>
      <c r="G92" s="7"/>
      <c r="H92" s="7">
        <v>0</v>
      </c>
      <c r="I92" s="7">
        <v>0</v>
      </c>
      <c r="J92" s="14"/>
      <c r="K92" s="249"/>
      <c r="L92" s="230"/>
      <c r="M92" s="230"/>
      <c r="N92" s="230"/>
      <c r="O92" s="230"/>
      <c r="P92" s="230"/>
      <c r="Q92" s="230"/>
      <c r="R92" s="230"/>
      <c r="S92" s="230"/>
      <c r="T92" s="230"/>
      <c r="U92" s="230"/>
      <c r="V92" s="230"/>
      <c r="W92" s="230"/>
      <c r="X92" s="230"/>
      <c r="Y92" s="230"/>
      <c r="Z92" s="230"/>
      <c r="AA92" s="230"/>
      <c r="AB92" s="230"/>
      <c r="AC92" s="230"/>
      <c r="AD92" s="230"/>
      <c r="AE92" s="230"/>
      <c r="AF92" s="230"/>
      <c r="AG92" s="230"/>
      <c r="AH92" s="230"/>
      <c r="AI92" s="230"/>
      <c r="AJ92" s="230"/>
    </row>
    <row r="93" spans="1:36" ht="15" x14ac:dyDescent="0.25">
      <c r="A93" s="305"/>
      <c r="B93" s="483"/>
      <c r="C93" s="261"/>
      <c r="D93" s="249"/>
      <c r="E93" s="228">
        <v>2025</v>
      </c>
      <c r="F93" s="7">
        <f t="shared" si="18"/>
        <v>0</v>
      </c>
      <c r="G93" s="7"/>
      <c r="H93" s="7">
        <v>0</v>
      </c>
      <c r="I93" s="7">
        <v>0</v>
      </c>
      <c r="J93" s="14"/>
      <c r="K93" s="249"/>
      <c r="L93" s="230"/>
      <c r="M93" s="230"/>
      <c r="N93" s="230"/>
      <c r="O93" s="230"/>
      <c r="P93" s="230"/>
      <c r="Q93" s="230"/>
      <c r="R93" s="230"/>
      <c r="S93" s="230"/>
      <c r="T93" s="230"/>
      <c r="U93" s="230"/>
      <c r="V93" s="230"/>
      <c r="W93" s="230"/>
      <c r="X93" s="230"/>
      <c r="Y93" s="230"/>
      <c r="Z93" s="230"/>
      <c r="AA93" s="230"/>
      <c r="AB93" s="230"/>
      <c r="AC93" s="230"/>
      <c r="AD93" s="230"/>
      <c r="AE93" s="230"/>
      <c r="AF93" s="230"/>
      <c r="AG93" s="230"/>
      <c r="AH93" s="230"/>
      <c r="AI93" s="230"/>
      <c r="AJ93" s="230"/>
    </row>
    <row r="94" spans="1:36" ht="105" customHeight="1" x14ac:dyDescent="0.2">
      <c r="A94" s="305"/>
      <c r="B94" s="484"/>
      <c r="C94" s="277"/>
      <c r="D94" s="250"/>
      <c r="E94" s="18" t="s">
        <v>18</v>
      </c>
      <c r="F94" s="8">
        <f>SUM(F83:F93)</f>
        <v>10237.799999999999</v>
      </c>
      <c r="G94" s="8"/>
      <c r="H94" s="8">
        <f>SUM(H83:H93)</f>
        <v>10135.299999999999</v>
      </c>
      <c r="I94" s="8">
        <f>SUM(I83:I93)</f>
        <v>102.5</v>
      </c>
      <c r="J94" s="14"/>
      <c r="K94" s="250"/>
      <c r="L94" s="212"/>
      <c r="M94" s="212"/>
      <c r="N94" s="212"/>
      <c r="O94" s="212"/>
      <c r="P94" s="212"/>
      <c r="Q94" s="212"/>
      <c r="R94" s="212"/>
      <c r="S94" s="212"/>
      <c r="T94" s="212"/>
      <c r="U94" s="212"/>
      <c r="V94" s="212"/>
      <c r="W94" s="212"/>
      <c r="X94" s="212"/>
      <c r="Y94" s="212"/>
      <c r="Z94" s="212"/>
      <c r="AA94" s="212"/>
      <c r="AB94" s="212"/>
      <c r="AC94" s="212"/>
      <c r="AD94" s="212"/>
      <c r="AE94" s="212"/>
      <c r="AF94" s="212"/>
      <c r="AG94" s="212"/>
      <c r="AH94" s="212"/>
      <c r="AI94" s="212"/>
      <c r="AJ94" s="212"/>
    </row>
    <row r="95" spans="1:36" ht="15" customHeight="1" x14ac:dyDescent="0.25">
      <c r="A95" s="350" t="s">
        <v>263</v>
      </c>
      <c r="B95" s="291" t="s">
        <v>230</v>
      </c>
      <c r="C95" s="290" t="s">
        <v>393</v>
      </c>
      <c r="D95" s="249" t="s">
        <v>449</v>
      </c>
      <c r="E95" s="222">
        <v>2016</v>
      </c>
      <c r="F95" s="143">
        <f t="shared" ref="F95:F100" si="19">SUM(G95:J95)</f>
        <v>7379.4</v>
      </c>
      <c r="G95" s="7"/>
      <c r="H95" s="7"/>
      <c r="I95" s="7">
        <f>1500+4748.2+1131.2</f>
        <v>7379.4</v>
      </c>
      <c r="J95" s="14"/>
      <c r="K95" s="249" t="s">
        <v>133</v>
      </c>
      <c r="L95" s="211"/>
      <c r="M95" s="211"/>
      <c r="N95" s="211"/>
      <c r="O95" s="211"/>
      <c r="P95" s="212"/>
      <c r="Q95" s="212"/>
      <c r="R95" s="212"/>
      <c r="S95" s="212"/>
      <c r="T95" s="212"/>
      <c r="U95" s="212"/>
      <c r="V95" s="212"/>
      <c r="W95" s="212"/>
      <c r="X95" s="212"/>
      <c r="Y95" s="212"/>
      <c r="Z95" s="212"/>
      <c r="AA95" s="212"/>
      <c r="AB95" s="212"/>
      <c r="AC95" s="212"/>
      <c r="AD95" s="212"/>
      <c r="AE95" s="212"/>
      <c r="AF95" s="212"/>
      <c r="AG95" s="212"/>
      <c r="AH95" s="212"/>
      <c r="AI95" s="212"/>
      <c r="AJ95" s="212"/>
    </row>
    <row r="96" spans="1:36" ht="12.75" customHeight="1" x14ac:dyDescent="0.25">
      <c r="A96" s="350"/>
      <c r="B96" s="291"/>
      <c r="C96" s="290"/>
      <c r="D96" s="249"/>
      <c r="E96" s="222">
        <v>2017</v>
      </c>
      <c r="F96" s="143">
        <f t="shared" si="19"/>
        <v>3628</v>
      </c>
      <c r="G96" s="7"/>
      <c r="H96" s="7"/>
      <c r="I96" s="7">
        <v>3628</v>
      </c>
      <c r="J96" s="14"/>
      <c r="K96" s="249"/>
      <c r="L96" s="211"/>
      <c r="M96" s="357"/>
      <c r="N96" s="357"/>
      <c r="O96" s="357"/>
      <c r="P96" s="212"/>
      <c r="Q96" s="212"/>
      <c r="R96" s="212"/>
      <c r="S96" s="212"/>
      <c r="T96" s="212"/>
      <c r="U96" s="212"/>
      <c r="V96" s="212"/>
      <c r="W96" s="212"/>
      <c r="X96" s="212"/>
      <c r="Y96" s="212"/>
      <c r="Z96" s="212"/>
      <c r="AA96" s="212"/>
      <c r="AB96" s="212"/>
      <c r="AC96" s="212"/>
      <c r="AD96" s="212"/>
      <c r="AE96" s="212"/>
      <c r="AF96" s="212"/>
      <c r="AG96" s="212"/>
      <c r="AH96" s="212"/>
      <c r="AI96" s="212"/>
      <c r="AJ96" s="212"/>
    </row>
    <row r="97" spans="1:36" ht="12" customHeight="1" x14ac:dyDescent="0.25">
      <c r="A97" s="350"/>
      <c r="B97" s="291"/>
      <c r="C97" s="290"/>
      <c r="D97" s="249"/>
      <c r="E97" s="222">
        <v>2018</v>
      </c>
      <c r="F97" s="143">
        <f t="shared" si="19"/>
        <v>1000</v>
      </c>
      <c r="G97" s="7"/>
      <c r="H97" s="7"/>
      <c r="I97" s="7">
        <v>1000</v>
      </c>
      <c r="J97" s="14"/>
      <c r="K97" s="249"/>
      <c r="L97" s="99"/>
      <c r="M97" s="211"/>
      <c r="N97" s="211"/>
      <c r="O97" s="211"/>
      <c r="P97" s="212"/>
      <c r="Q97" s="212"/>
      <c r="R97" s="212"/>
      <c r="S97" s="212"/>
      <c r="T97" s="212"/>
      <c r="U97" s="212"/>
      <c r="V97" s="212"/>
      <c r="W97" s="212"/>
      <c r="X97" s="212"/>
      <c r="Y97" s="212"/>
      <c r="Z97" s="212"/>
      <c r="AA97" s="212"/>
      <c r="AB97" s="212"/>
      <c r="AC97" s="212"/>
      <c r="AD97" s="212"/>
      <c r="AE97" s="212"/>
      <c r="AF97" s="212"/>
      <c r="AG97" s="212"/>
      <c r="AH97" s="212"/>
      <c r="AI97" s="212"/>
      <c r="AJ97" s="212"/>
    </row>
    <row r="98" spans="1:36" ht="14.25" customHeight="1" x14ac:dyDescent="0.25">
      <c r="A98" s="350"/>
      <c r="B98" s="291"/>
      <c r="C98" s="290"/>
      <c r="D98" s="249"/>
      <c r="E98" s="222">
        <v>2019</v>
      </c>
      <c r="F98" s="143">
        <f t="shared" si="19"/>
        <v>831.7</v>
      </c>
      <c r="G98" s="7"/>
      <c r="H98" s="7"/>
      <c r="I98" s="7">
        <f>800+31.7</f>
        <v>831.7</v>
      </c>
      <c r="J98" s="14"/>
      <c r="K98" s="249"/>
      <c r="L98" s="211"/>
      <c r="M98" s="211"/>
      <c r="N98" s="211"/>
      <c r="O98" s="211"/>
      <c r="P98" s="212"/>
      <c r="Q98" s="212"/>
      <c r="R98" s="212"/>
      <c r="S98" s="212"/>
      <c r="T98" s="212"/>
      <c r="U98" s="212"/>
      <c r="V98" s="212"/>
      <c r="W98" s="212"/>
      <c r="X98" s="212"/>
      <c r="Y98" s="212"/>
      <c r="Z98" s="212"/>
      <c r="AA98" s="212"/>
      <c r="AB98" s="212"/>
      <c r="AC98" s="212"/>
      <c r="AD98" s="212"/>
      <c r="AE98" s="212"/>
      <c r="AF98" s="212"/>
      <c r="AG98" s="212"/>
      <c r="AH98" s="212"/>
      <c r="AI98" s="212"/>
      <c r="AJ98" s="212"/>
    </row>
    <row r="99" spans="1:36" ht="12" customHeight="1" x14ac:dyDescent="0.25">
      <c r="A99" s="350"/>
      <c r="B99" s="291"/>
      <c r="C99" s="290"/>
      <c r="D99" s="249"/>
      <c r="E99" s="222">
        <v>2020</v>
      </c>
      <c r="F99" s="7">
        <f t="shared" si="19"/>
        <v>680</v>
      </c>
      <c r="G99" s="7"/>
      <c r="H99" s="7"/>
      <c r="I99" s="7">
        <f>750-70</f>
        <v>680</v>
      </c>
      <c r="J99" s="14"/>
      <c r="K99" s="249"/>
      <c r="L99" s="211"/>
      <c r="M99" s="211"/>
      <c r="N99" s="211"/>
      <c r="O99" s="211"/>
      <c r="P99" s="212"/>
      <c r="Q99" s="212"/>
      <c r="R99" s="212"/>
      <c r="S99" s="212"/>
      <c r="T99" s="212"/>
      <c r="U99" s="212"/>
      <c r="V99" s="212"/>
      <c r="W99" s="212"/>
      <c r="X99" s="212"/>
      <c r="Y99" s="212"/>
      <c r="Z99" s="212"/>
      <c r="AA99" s="212"/>
      <c r="AB99" s="212"/>
      <c r="AC99" s="212"/>
      <c r="AD99" s="212"/>
      <c r="AE99" s="212"/>
      <c r="AF99" s="212"/>
      <c r="AG99" s="212"/>
      <c r="AH99" s="212"/>
      <c r="AI99" s="212"/>
      <c r="AJ99" s="212"/>
    </row>
    <row r="100" spans="1:36" ht="12" customHeight="1" x14ac:dyDescent="0.25">
      <c r="A100" s="350"/>
      <c r="B100" s="291"/>
      <c r="C100" s="290"/>
      <c r="D100" s="249"/>
      <c r="E100" s="222">
        <v>2021</v>
      </c>
      <c r="F100" s="7">
        <f t="shared" si="19"/>
        <v>1000</v>
      </c>
      <c r="G100" s="7"/>
      <c r="H100" s="7"/>
      <c r="I100" s="7">
        <v>1000</v>
      </c>
      <c r="J100" s="14"/>
      <c r="K100" s="249"/>
      <c r="L100" s="211"/>
      <c r="M100" s="211"/>
      <c r="N100" s="211"/>
      <c r="O100" s="211"/>
      <c r="P100" s="212"/>
      <c r="Q100" s="212"/>
      <c r="R100" s="212"/>
      <c r="S100" s="212"/>
      <c r="T100" s="212"/>
      <c r="U100" s="212"/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/>
      <c r="AF100" s="212"/>
      <c r="AG100" s="212"/>
      <c r="AH100" s="212"/>
      <c r="AI100" s="212"/>
      <c r="AJ100" s="212"/>
    </row>
    <row r="101" spans="1:36" ht="12" customHeight="1" x14ac:dyDescent="0.25">
      <c r="A101" s="350"/>
      <c r="B101" s="291"/>
      <c r="C101" s="290"/>
      <c r="D101" s="249"/>
      <c r="E101" s="228">
        <v>2022</v>
      </c>
      <c r="F101" s="7">
        <f t="shared" ref="F101:F102" si="20">SUM(G101:J101)</f>
        <v>0</v>
      </c>
      <c r="G101" s="7"/>
      <c r="H101" s="7"/>
      <c r="I101" s="7">
        <v>0</v>
      </c>
      <c r="J101" s="14"/>
      <c r="K101" s="249"/>
      <c r="L101" s="229"/>
      <c r="M101" s="229"/>
      <c r="N101" s="229"/>
      <c r="O101" s="229"/>
      <c r="P101" s="230"/>
      <c r="Q101" s="230"/>
      <c r="R101" s="230"/>
      <c r="S101" s="230"/>
      <c r="T101" s="230"/>
      <c r="U101" s="230"/>
      <c r="V101" s="230"/>
      <c r="W101" s="230"/>
      <c r="X101" s="230"/>
      <c r="Y101" s="230"/>
      <c r="Z101" s="230"/>
      <c r="AA101" s="230"/>
      <c r="AB101" s="230"/>
      <c r="AC101" s="230"/>
      <c r="AD101" s="230"/>
      <c r="AE101" s="230"/>
      <c r="AF101" s="230"/>
      <c r="AG101" s="230"/>
      <c r="AH101" s="230"/>
      <c r="AI101" s="230"/>
      <c r="AJ101" s="230"/>
    </row>
    <row r="102" spans="1:36" ht="12" customHeight="1" x14ac:dyDescent="0.25">
      <c r="A102" s="350"/>
      <c r="B102" s="291"/>
      <c r="C102" s="290"/>
      <c r="D102" s="249"/>
      <c r="E102" s="228">
        <v>2023</v>
      </c>
      <c r="F102" s="7">
        <f t="shared" si="20"/>
        <v>0</v>
      </c>
      <c r="G102" s="7"/>
      <c r="H102" s="7"/>
      <c r="I102" s="7">
        <v>0</v>
      </c>
      <c r="J102" s="14"/>
      <c r="K102" s="249"/>
      <c r="L102" s="229"/>
      <c r="M102" s="229"/>
      <c r="N102" s="229"/>
      <c r="O102" s="229"/>
      <c r="P102" s="230"/>
      <c r="Q102" s="230"/>
      <c r="R102" s="230"/>
      <c r="S102" s="230"/>
      <c r="T102" s="230"/>
      <c r="U102" s="230"/>
      <c r="V102" s="230"/>
      <c r="W102" s="230"/>
      <c r="X102" s="230"/>
      <c r="Y102" s="230"/>
      <c r="Z102" s="230"/>
      <c r="AA102" s="230"/>
      <c r="AB102" s="230"/>
      <c r="AC102" s="230"/>
      <c r="AD102" s="230"/>
      <c r="AE102" s="230"/>
      <c r="AF102" s="230"/>
      <c r="AG102" s="230"/>
      <c r="AH102" s="230"/>
      <c r="AI102" s="230"/>
      <c r="AJ102" s="230"/>
    </row>
    <row r="103" spans="1:36" ht="15" customHeight="1" x14ac:dyDescent="0.2">
      <c r="A103" s="351"/>
      <c r="B103" s="292"/>
      <c r="C103" s="282"/>
      <c r="D103" s="250"/>
      <c r="E103" s="18" t="s">
        <v>18</v>
      </c>
      <c r="F103" s="8">
        <f>SUM(G103:I103)</f>
        <v>14519.1</v>
      </c>
      <c r="G103" s="8"/>
      <c r="H103" s="8">
        <f>SUM(H95:H98)</f>
        <v>0</v>
      </c>
      <c r="I103" s="8">
        <f>SUM(I95:I100)</f>
        <v>14519.1</v>
      </c>
      <c r="J103" s="14"/>
      <c r="K103" s="250"/>
      <c r="L103" s="212"/>
      <c r="M103" s="212"/>
      <c r="N103" s="212"/>
      <c r="O103" s="212"/>
      <c r="P103" s="212"/>
      <c r="Q103" s="212"/>
      <c r="R103" s="212"/>
      <c r="S103" s="212"/>
      <c r="T103" s="212"/>
      <c r="U103" s="212"/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/>
      <c r="AF103" s="212"/>
      <c r="AG103" s="212"/>
      <c r="AH103" s="212"/>
      <c r="AI103" s="212"/>
      <c r="AJ103" s="212"/>
    </row>
    <row r="104" spans="1:36" ht="14.25" x14ac:dyDescent="0.2">
      <c r="A104" s="485" t="s">
        <v>28</v>
      </c>
      <c r="B104" s="485"/>
      <c r="C104" s="485"/>
      <c r="D104" s="485"/>
      <c r="E104" s="19"/>
      <c r="F104" s="144">
        <f>SUM(G104:I104)</f>
        <v>24756.9</v>
      </c>
      <c r="G104" s="144"/>
      <c r="H104" s="144">
        <f>H94</f>
        <v>10135.299999999999</v>
      </c>
      <c r="I104" s="144">
        <f>I94+I103</f>
        <v>14621.6</v>
      </c>
      <c r="J104" s="20"/>
      <c r="K104" s="19"/>
    </row>
    <row r="105" spans="1:36" ht="15" x14ac:dyDescent="0.25">
      <c r="A105" s="287" t="s">
        <v>29</v>
      </c>
      <c r="B105" s="486"/>
      <c r="C105" s="486"/>
      <c r="D105" s="486"/>
      <c r="E105" s="486"/>
      <c r="F105" s="486"/>
      <c r="G105" s="486"/>
      <c r="H105" s="486"/>
      <c r="I105" s="486"/>
      <c r="J105" s="486"/>
      <c r="K105" s="486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28"/>
      <c r="W105" s="28"/>
      <c r="X105" s="28"/>
      <c r="Y105" s="28"/>
      <c r="Z105" s="28"/>
      <c r="AA105" s="28"/>
      <c r="AB105" s="28"/>
      <c r="AC105" s="28"/>
    </row>
    <row r="106" spans="1:36" ht="15" x14ac:dyDescent="0.25">
      <c r="A106" s="305" t="s">
        <v>264</v>
      </c>
      <c r="B106" s="280" t="s">
        <v>30</v>
      </c>
      <c r="C106" s="276" t="s">
        <v>122</v>
      </c>
      <c r="D106" s="248" t="s">
        <v>449</v>
      </c>
      <c r="E106" s="222">
        <v>2015</v>
      </c>
      <c r="F106" s="7">
        <f t="shared" ref="F106:F112" si="21">SUM(G106:I106)</f>
        <v>600</v>
      </c>
      <c r="G106" s="7"/>
      <c r="H106" s="7"/>
      <c r="I106" s="7">
        <v>600</v>
      </c>
      <c r="J106" s="14"/>
      <c r="K106" s="248" t="s">
        <v>131</v>
      </c>
    </row>
    <row r="107" spans="1:36" ht="15" x14ac:dyDescent="0.25">
      <c r="A107" s="305"/>
      <c r="B107" s="321"/>
      <c r="C107" s="261"/>
      <c r="D107" s="249"/>
      <c r="E107" s="222">
        <v>2016</v>
      </c>
      <c r="F107" s="7">
        <f t="shared" si="21"/>
        <v>700</v>
      </c>
      <c r="G107" s="7"/>
      <c r="H107" s="7"/>
      <c r="I107" s="7">
        <v>700</v>
      </c>
      <c r="J107" s="14"/>
      <c r="K107" s="249"/>
    </row>
    <row r="108" spans="1:36" ht="15" x14ac:dyDescent="0.25">
      <c r="A108" s="305"/>
      <c r="B108" s="321"/>
      <c r="C108" s="261"/>
      <c r="D108" s="249"/>
      <c r="E108" s="222">
        <v>2017</v>
      </c>
      <c r="F108" s="7">
        <f t="shared" si="21"/>
        <v>0</v>
      </c>
      <c r="G108" s="7"/>
      <c r="H108" s="7"/>
      <c r="I108" s="7">
        <v>0</v>
      </c>
      <c r="J108" s="14"/>
      <c r="K108" s="249"/>
    </row>
    <row r="109" spans="1:36" ht="15" x14ac:dyDescent="0.25">
      <c r="A109" s="305"/>
      <c r="B109" s="321"/>
      <c r="C109" s="261"/>
      <c r="D109" s="249"/>
      <c r="E109" s="222">
        <v>2018</v>
      </c>
      <c r="F109" s="7">
        <f t="shared" si="21"/>
        <v>400</v>
      </c>
      <c r="G109" s="7"/>
      <c r="H109" s="7"/>
      <c r="I109" s="7">
        <v>400</v>
      </c>
      <c r="J109" s="14"/>
      <c r="K109" s="249"/>
      <c r="L109" s="99"/>
      <c r="M109" s="99"/>
    </row>
    <row r="110" spans="1:36" ht="15" x14ac:dyDescent="0.25">
      <c r="A110" s="305"/>
      <c r="B110" s="321"/>
      <c r="C110" s="261"/>
      <c r="D110" s="249"/>
      <c r="E110" s="222">
        <v>2019</v>
      </c>
      <c r="F110" s="7">
        <v>0</v>
      </c>
      <c r="G110" s="7"/>
      <c r="H110" s="7"/>
      <c r="I110" s="7">
        <f>1000-1000</f>
        <v>0</v>
      </c>
      <c r="J110" s="14"/>
      <c r="K110" s="249"/>
      <c r="L110" s="99"/>
    </row>
    <row r="111" spans="1:36" ht="15" x14ac:dyDescent="0.25">
      <c r="A111" s="305"/>
      <c r="B111" s="321"/>
      <c r="C111" s="261"/>
      <c r="D111" s="249"/>
      <c r="E111" s="222">
        <v>2020</v>
      </c>
      <c r="F111" s="7">
        <f t="shared" si="21"/>
        <v>0</v>
      </c>
      <c r="G111" s="7"/>
      <c r="H111" s="7"/>
      <c r="I111" s="7">
        <v>0</v>
      </c>
      <c r="J111" s="14"/>
      <c r="K111" s="249"/>
    </row>
    <row r="112" spans="1:36" ht="14.25" x14ac:dyDescent="0.2">
      <c r="A112" s="305"/>
      <c r="B112" s="322"/>
      <c r="C112" s="277"/>
      <c r="D112" s="250"/>
      <c r="E112" s="18" t="s">
        <v>18</v>
      </c>
      <c r="F112" s="8">
        <f t="shared" si="21"/>
        <v>1700</v>
      </c>
      <c r="G112" s="8"/>
      <c r="H112" s="8"/>
      <c r="I112" s="8">
        <f>SUM(I106:I111)</f>
        <v>1700</v>
      </c>
      <c r="J112" s="14"/>
      <c r="K112" s="250"/>
    </row>
    <row r="113" spans="1:36" ht="14.25" x14ac:dyDescent="0.2">
      <c r="A113" s="323" t="s">
        <v>31</v>
      </c>
      <c r="B113" s="324"/>
      <c r="C113" s="324"/>
      <c r="D113" s="323"/>
      <c r="E113" s="323"/>
      <c r="F113" s="323"/>
      <c r="G113" s="323"/>
      <c r="H113" s="323"/>
      <c r="I113" s="323"/>
      <c r="J113" s="323"/>
      <c r="K113" s="323"/>
    </row>
    <row r="114" spans="1:36" x14ac:dyDescent="0.2">
      <c r="A114" s="305" t="s">
        <v>265</v>
      </c>
      <c r="B114" s="273" t="s">
        <v>32</v>
      </c>
      <c r="C114" s="276" t="s">
        <v>122</v>
      </c>
      <c r="D114" s="248" t="s">
        <v>449</v>
      </c>
      <c r="E114" s="222">
        <v>2015</v>
      </c>
      <c r="F114" s="14">
        <f t="shared" ref="F114:F119" si="22">SUM(G114:I114)</f>
        <v>0</v>
      </c>
      <c r="G114" s="14"/>
      <c r="H114" s="14"/>
      <c r="I114" s="14">
        <v>0</v>
      </c>
      <c r="J114" s="14"/>
      <c r="K114" s="248" t="s">
        <v>131</v>
      </c>
    </row>
    <row r="115" spans="1:36" x14ac:dyDescent="0.2">
      <c r="A115" s="305"/>
      <c r="B115" s="274"/>
      <c r="C115" s="261"/>
      <c r="D115" s="249"/>
      <c r="E115" s="222">
        <v>2016</v>
      </c>
      <c r="F115" s="14">
        <f t="shared" si="22"/>
        <v>0</v>
      </c>
      <c r="G115" s="14"/>
      <c r="H115" s="14"/>
      <c r="I115" s="14">
        <v>0</v>
      </c>
      <c r="J115" s="14"/>
      <c r="K115" s="249"/>
    </row>
    <row r="116" spans="1:36" x14ac:dyDescent="0.2">
      <c r="A116" s="305"/>
      <c r="B116" s="274"/>
      <c r="C116" s="261"/>
      <c r="D116" s="249"/>
      <c r="E116" s="222">
        <v>2017</v>
      </c>
      <c r="F116" s="14">
        <f t="shared" si="22"/>
        <v>0</v>
      </c>
      <c r="G116" s="14"/>
      <c r="H116" s="14"/>
      <c r="I116" s="14">
        <v>0</v>
      </c>
      <c r="J116" s="14"/>
      <c r="K116" s="249"/>
    </row>
    <row r="117" spans="1:36" x14ac:dyDescent="0.2">
      <c r="A117" s="305"/>
      <c r="B117" s="274"/>
      <c r="C117" s="261"/>
      <c r="D117" s="249"/>
      <c r="E117" s="222">
        <v>2018</v>
      </c>
      <c r="F117" s="14">
        <f t="shared" si="22"/>
        <v>0</v>
      </c>
      <c r="G117" s="14"/>
      <c r="H117" s="14"/>
      <c r="I117" s="14">
        <f>176.7-176.7</f>
        <v>0</v>
      </c>
      <c r="J117" s="14"/>
      <c r="K117" s="249"/>
      <c r="L117" s="99"/>
      <c r="M117" s="99"/>
    </row>
    <row r="118" spans="1:36" x14ac:dyDescent="0.2">
      <c r="A118" s="305"/>
      <c r="B118" s="274"/>
      <c r="C118" s="261"/>
      <c r="D118" s="249"/>
      <c r="E118" s="222">
        <v>2019</v>
      </c>
      <c r="F118" s="14">
        <f t="shared" si="22"/>
        <v>0</v>
      </c>
      <c r="G118" s="14"/>
      <c r="H118" s="14"/>
      <c r="I118" s="14">
        <f>202-202</f>
        <v>0</v>
      </c>
      <c r="J118" s="14"/>
      <c r="K118" s="249"/>
      <c r="L118" s="99"/>
      <c r="M118" s="127"/>
      <c r="N118" s="99"/>
    </row>
    <row r="119" spans="1:36" x14ac:dyDescent="0.2">
      <c r="A119" s="305"/>
      <c r="B119" s="274"/>
      <c r="C119" s="261"/>
      <c r="D119" s="249"/>
      <c r="E119" s="222">
        <v>2020</v>
      </c>
      <c r="F119" s="14">
        <f t="shared" si="22"/>
        <v>0</v>
      </c>
      <c r="G119" s="14"/>
      <c r="H119" s="14"/>
      <c r="I119" s="14">
        <v>0</v>
      </c>
      <c r="J119" s="14"/>
      <c r="K119" s="249"/>
      <c r="L119" s="99"/>
    </row>
    <row r="120" spans="1:36" x14ac:dyDescent="0.2">
      <c r="A120" s="305"/>
      <c r="B120" s="274"/>
      <c r="C120" s="277"/>
      <c r="D120" s="250"/>
      <c r="E120" s="18" t="s">
        <v>18</v>
      </c>
      <c r="F120" s="13">
        <f>SUM(F114:F119)</f>
        <v>0</v>
      </c>
      <c r="G120" s="13"/>
      <c r="H120" s="13"/>
      <c r="I120" s="13">
        <f>SUM(I114:I119)</f>
        <v>0</v>
      </c>
      <c r="J120" s="14"/>
      <c r="K120" s="250"/>
      <c r="P120" s="99"/>
    </row>
    <row r="121" spans="1:36" ht="20.25" customHeight="1" x14ac:dyDescent="0.25">
      <c r="A121" s="476" t="s">
        <v>193</v>
      </c>
      <c r="B121" s="477"/>
      <c r="C121" s="478"/>
      <c r="D121" s="479"/>
      <c r="E121" s="34"/>
      <c r="F121" s="144">
        <f>SUM(G121:I121)</f>
        <v>755044.5</v>
      </c>
      <c r="G121" s="144"/>
      <c r="H121" s="144">
        <f>H120+H112+H104+H81+H48+H20</f>
        <v>303224.40000000002</v>
      </c>
      <c r="I121" s="144">
        <f>I120+I112+I104+I81+I48+I20</f>
        <v>451820.10000000003</v>
      </c>
      <c r="J121" s="21"/>
      <c r="K121" s="34"/>
      <c r="L121" s="117"/>
      <c r="M121" s="99"/>
      <c r="N121" s="117"/>
      <c r="O121" s="118"/>
      <c r="P121" s="139"/>
      <c r="Q121" s="118"/>
      <c r="R121" s="107"/>
    </row>
    <row r="122" spans="1:36" ht="16.5" thickBot="1" x14ac:dyDescent="0.3">
      <c r="A122" s="480" t="s">
        <v>175</v>
      </c>
      <c r="B122" s="481"/>
      <c r="C122" s="481"/>
      <c r="D122" s="481"/>
      <c r="E122" s="481"/>
      <c r="F122" s="481"/>
      <c r="G122" s="481"/>
      <c r="H122" s="481"/>
      <c r="I122" s="481"/>
      <c r="J122" s="481"/>
      <c r="K122" s="481"/>
      <c r="L122" s="120"/>
      <c r="M122" s="120"/>
      <c r="N122" s="28"/>
      <c r="O122" s="28"/>
      <c r="P122" s="28"/>
      <c r="Q122" s="28"/>
      <c r="R122" s="120"/>
      <c r="S122" s="120"/>
      <c r="T122" s="120"/>
      <c r="U122" s="120"/>
      <c r="V122" s="120"/>
      <c r="W122" s="119"/>
      <c r="X122" s="210"/>
      <c r="Y122" s="210"/>
      <c r="Z122" s="210"/>
      <c r="AA122" s="210"/>
      <c r="AB122" s="210"/>
      <c r="AC122" s="210"/>
      <c r="AD122" s="210"/>
      <c r="AE122" s="210"/>
      <c r="AF122" s="210"/>
      <c r="AG122" s="210"/>
      <c r="AH122" s="210"/>
      <c r="AI122" s="210"/>
      <c r="AJ122" s="210"/>
    </row>
    <row r="123" spans="1:36" ht="44.25" customHeight="1" thickBot="1" x14ac:dyDescent="0.25">
      <c r="A123" s="311" t="s">
        <v>219</v>
      </c>
      <c r="B123" s="312"/>
      <c r="C123" s="312"/>
      <c r="D123" s="312"/>
      <c r="E123" s="312"/>
      <c r="F123" s="312"/>
      <c r="G123" s="312"/>
      <c r="H123" s="312"/>
      <c r="I123" s="312"/>
      <c r="J123" s="312"/>
      <c r="K123" s="313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  <c r="AI123" s="36"/>
      <c r="AJ123" s="36"/>
    </row>
    <row r="124" spans="1:36" x14ac:dyDescent="0.2">
      <c r="A124" s="305" t="s">
        <v>64</v>
      </c>
      <c r="B124" s="314" t="s">
        <v>33</v>
      </c>
      <c r="C124" s="316" t="s">
        <v>122</v>
      </c>
      <c r="D124" s="318" t="s">
        <v>384</v>
      </c>
      <c r="E124" s="222">
        <v>2015</v>
      </c>
      <c r="F124" s="222"/>
      <c r="G124" s="222"/>
      <c r="H124" s="222"/>
      <c r="I124" s="222"/>
      <c r="J124" s="222"/>
      <c r="K124" s="320" t="s">
        <v>34</v>
      </c>
    </row>
    <row r="125" spans="1:36" x14ac:dyDescent="0.2">
      <c r="A125" s="305"/>
      <c r="B125" s="315"/>
      <c r="C125" s="317"/>
      <c r="D125" s="319"/>
      <c r="E125" s="222">
        <v>2016</v>
      </c>
      <c r="F125" s="222"/>
      <c r="G125" s="222"/>
      <c r="H125" s="222"/>
      <c r="I125" s="222"/>
      <c r="J125" s="222"/>
      <c r="K125" s="249"/>
    </row>
    <row r="126" spans="1:36" x14ac:dyDescent="0.2">
      <c r="A126" s="305"/>
      <c r="B126" s="315"/>
      <c r="C126" s="317"/>
      <c r="D126" s="319"/>
      <c r="E126" s="222">
        <v>2017</v>
      </c>
      <c r="F126" s="222"/>
      <c r="G126" s="222"/>
      <c r="H126" s="222"/>
      <c r="I126" s="222"/>
      <c r="J126" s="222"/>
      <c r="K126" s="249"/>
      <c r="L126" s="99"/>
    </row>
    <row r="127" spans="1:36" x14ac:dyDescent="0.2">
      <c r="A127" s="305"/>
      <c r="B127" s="315"/>
      <c r="C127" s="317"/>
      <c r="D127" s="319"/>
      <c r="E127" s="222">
        <v>2018</v>
      </c>
      <c r="F127" s="222"/>
      <c r="G127" s="222"/>
      <c r="H127" s="222"/>
      <c r="I127" s="222"/>
      <c r="J127" s="222"/>
      <c r="K127" s="249"/>
    </row>
    <row r="128" spans="1:36" x14ac:dyDescent="0.2">
      <c r="A128" s="305"/>
      <c r="B128" s="315"/>
      <c r="C128" s="317"/>
      <c r="D128" s="319"/>
      <c r="E128" s="222">
        <v>2019</v>
      </c>
      <c r="F128" s="222"/>
      <c r="G128" s="222"/>
      <c r="H128" s="222"/>
      <c r="I128" s="222"/>
      <c r="J128" s="222"/>
      <c r="K128" s="249"/>
    </row>
    <row r="129" spans="1:36" x14ac:dyDescent="0.2">
      <c r="A129" s="305"/>
      <c r="B129" s="315"/>
      <c r="C129" s="317"/>
      <c r="D129" s="319"/>
      <c r="E129" s="222">
        <v>2020</v>
      </c>
      <c r="F129" s="222"/>
      <c r="G129" s="222"/>
      <c r="H129" s="222"/>
      <c r="I129" s="222"/>
      <c r="J129" s="222"/>
      <c r="K129" s="249"/>
    </row>
    <row r="130" spans="1:36" ht="21.75" customHeight="1" thickBot="1" x14ac:dyDescent="0.25">
      <c r="A130" s="306"/>
      <c r="B130" s="315"/>
      <c r="C130" s="317"/>
      <c r="D130" s="319"/>
      <c r="E130" s="26" t="s">
        <v>18</v>
      </c>
      <c r="F130" s="207"/>
      <c r="G130" s="207"/>
      <c r="H130" s="207"/>
      <c r="I130" s="207"/>
      <c r="J130" s="207"/>
      <c r="K130" s="249"/>
    </row>
    <row r="131" spans="1:36" ht="18" customHeight="1" thickBot="1" x14ac:dyDescent="0.25">
      <c r="A131" s="308" t="s">
        <v>196</v>
      </c>
      <c r="B131" s="309"/>
      <c r="C131" s="309"/>
      <c r="D131" s="309"/>
      <c r="E131" s="310"/>
      <c r="F131" s="472" t="s">
        <v>35</v>
      </c>
      <c r="G131" s="473"/>
      <c r="H131" s="473"/>
      <c r="I131" s="473"/>
      <c r="J131" s="474"/>
      <c r="K131" s="98"/>
    </row>
    <row r="132" spans="1:36" x14ac:dyDescent="0.2">
      <c r="A132" s="433" t="s">
        <v>36</v>
      </c>
      <c r="B132" s="475"/>
      <c r="C132" s="475"/>
      <c r="D132" s="475"/>
      <c r="E132" s="475"/>
      <c r="F132" s="475"/>
      <c r="G132" s="475"/>
      <c r="H132" s="475"/>
      <c r="I132" s="475"/>
      <c r="J132" s="475"/>
      <c r="K132" s="475"/>
    </row>
    <row r="133" spans="1:36" ht="31.5" customHeight="1" x14ac:dyDescent="0.2">
      <c r="A133" s="418" t="s">
        <v>37</v>
      </c>
      <c r="B133" s="379"/>
      <c r="C133" s="379"/>
      <c r="D133" s="379"/>
      <c r="E133" s="379"/>
      <c r="F133" s="379"/>
      <c r="G133" s="379"/>
      <c r="H133" s="379"/>
      <c r="I133" s="379"/>
      <c r="J133" s="379"/>
      <c r="K133" s="379"/>
      <c r="L133" s="212"/>
      <c r="M133" s="212"/>
      <c r="N133" s="212"/>
      <c r="O133" s="212"/>
      <c r="P133" s="212"/>
      <c r="Q133" s="212"/>
      <c r="R133" s="212"/>
      <c r="S133" s="212"/>
      <c r="T133" s="212"/>
      <c r="U133" s="212"/>
      <c r="V133" s="212"/>
      <c r="W133" s="212"/>
      <c r="X133" s="212"/>
      <c r="Y133" s="212"/>
      <c r="Z133" s="212"/>
      <c r="AA133" s="212"/>
      <c r="AB133" s="212"/>
      <c r="AC133" s="212"/>
      <c r="AD133" s="212"/>
      <c r="AE133" s="212"/>
      <c r="AF133" s="212"/>
      <c r="AG133" s="212"/>
      <c r="AH133" s="212"/>
      <c r="AI133" s="212"/>
      <c r="AJ133" s="212"/>
    </row>
    <row r="134" spans="1:36" x14ac:dyDescent="0.2">
      <c r="A134" s="307" t="s">
        <v>90</v>
      </c>
      <c r="B134" s="469" t="s">
        <v>38</v>
      </c>
      <c r="C134" s="272" t="s">
        <v>122</v>
      </c>
      <c r="D134" s="260" t="s">
        <v>449</v>
      </c>
      <c r="E134" s="208">
        <v>2015</v>
      </c>
      <c r="F134" s="208"/>
      <c r="G134" s="208"/>
      <c r="H134" s="208"/>
      <c r="I134" s="208"/>
      <c r="J134" s="208"/>
      <c r="K134" s="248" t="s">
        <v>39</v>
      </c>
    </row>
    <row r="135" spans="1:36" x14ac:dyDescent="0.2">
      <c r="A135" s="305"/>
      <c r="B135" s="379"/>
      <c r="C135" s="284"/>
      <c r="D135" s="260"/>
      <c r="E135" s="222">
        <v>2016</v>
      </c>
      <c r="F135" s="222"/>
      <c r="G135" s="222"/>
      <c r="H135" s="222"/>
      <c r="I135" s="222"/>
      <c r="J135" s="222"/>
      <c r="K135" s="249"/>
      <c r="L135" s="99"/>
    </row>
    <row r="136" spans="1:36" x14ac:dyDescent="0.2">
      <c r="A136" s="305"/>
      <c r="B136" s="379"/>
      <c r="C136" s="284"/>
      <c r="D136" s="260"/>
      <c r="E136" s="222">
        <v>2017</v>
      </c>
      <c r="F136" s="222"/>
      <c r="G136" s="222"/>
      <c r="H136" s="222"/>
      <c r="I136" s="222"/>
      <c r="J136" s="222"/>
      <c r="K136" s="249"/>
    </row>
    <row r="137" spans="1:36" x14ac:dyDescent="0.2">
      <c r="A137" s="305"/>
      <c r="B137" s="379"/>
      <c r="C137" s="284"/>
      <c r="D137" s="260"/>
      <c r="E137" s="222">
        <v>2018</v>
      </c>
      <c r="F137" s="222"/>
      <c r="G137" s="222"/>
      <c r="H137" s="222"/>
      <c r="I137" s="222"/>
      <c r="J137" s="222"/>
      <c r="K137" s="249"/>
    </row>
    <row r="138" spans="1:36" x14ac:dyDescent="0.2">
      <c r="A138" s="305"/>
      <c r="B138" s="379"/>
      <c r="C138" s="284"/>
      <c r="D138" s="260"/>
      <c r="E138" s="222">
        <v>2019</v>
      </c>
      <c r="F138" s="222"/>
      <c r="G138" s="222"/>
      <c r="H138" s="222"/>
      <c r="I138" s="222"/>
      <c r="J138" s="222"/>
      <c r="K138" s="249"/>
    </row>
    <row r="139" spans="1:36" x14ac:dyDescent="0.2">
      <c r="A139" s="305"/>
      <c r="B139" s="379"/>
      <c r="C139" s="284"/>
      <c r="D139" s="260"/>
      <c r="E139" s="222">
        <v>2020</v>
      </c>
      <c r="F139" s="222"/>
      <c r="G139" s="222"/>
      <c r="H139" s="222"/>
      <c r="I139" s="222"/>
      <c r="J139" s="222"/>
      <c r="K139" s="249"/>
    </row>
    <row r="140" spans="1:36" ht="30" customHeight="1" x14ac:dyDescent="0.2">
      <c r="A140" s="305"/>
      <c r="B140" s="379"/>
      <c r="C140" s="284"/>
      <c r="D140" s="260"/>
      <c r="E140" s="18" t="s">
        <v>18</v>
      </c>
      <c r="F140" s="222"/>
      <c r="G140" s="222"/>
      <c r="H140" s="222"/>
      <c r="I140" s="222"/>
      <c r="J140" s="222"/>
      <c r="K140" s="250"/>
    </row>
    <row r="141" spans="1:36" x14ac:dyDescent="0.2">
      <c r="A141" s="305" t="s">
        <v>67</v>
      </c>
      <c r="B141" s="297" t="s">
        <v>40</v>
      </c>
      <c r="C141" s="272" t="s">
        <v>122</v>
      </c>
      <c r="D141" s="260" t="s">
        <v>449</v>
      </c>
      <c r="E141" s="222">
        <v>2015</v>
      </c>
      <c r="F141" s="222"/>
      <c r="G141" s="222"/>
      <c r="H141" s="222"/>
      <c r="I141" s="222"/>
      <c r="J141" s="222"/>
      <c r="K141" s="248" t="s">
        <v>41</v>
      </c>
    </row>
    <row r="142" spans="1:36" x14ac:dyDescent="0.2">
      <c r="A142" s="305"/>
      <c r="B142" s="379"/>
      <c r="C142" s="284"/>
      <c r="D142" s="260"/>
      <c r="E142" s="222">
        <v>2016</v>
      </c>
      <c r="F142" s="222"/>
      <c r="G142" s="222"/>
      <c r="H142" s="222"/>
      <c r="I142" s="222"/>
      <c r="J142" s="222"/>
      <c r="K142" s="249"/>
      <c r="L142" s="99"/>
    </row>
    <row r="143" spans="1:36" x14ac:dyDescent="0.2">
      <c r="A143" s="305"/>
      <c r="B143" s="379"/>
      <c r="C143" s="284"/>
      <c r="D143" s="260"/>
      <c r="E143" s="222">
        <v>2017</v>
      </c>
      <c r="F143" s="222"/>
      <c r="G143" s="222"/>
      <c r="H143" s="222"/>
      <c r="I143" s="222"/>
      <c r="J143" s="222"/>
      <c r="K143" s="249"/>
    </row>
    <row r="144" spans="1:36" x14ac:dyDescent="0.2">
      <c r="A144" s="305"/>
      <c r="B144" s="379"/>
      <c r="C144" s="284"/>
      <c r="D144" s="260"/>
      <c r="E144" s="222">
        <v>2018</v>
      </c>
      <c r="F144" s="222"/>
      <c r="G144" s="222"/>
      <c r="H144" s="222"/>
      <c r="I144" s="222"/>
      <c r="J144" s="222"/>
      <c r="K144" s="249"/>
    </row>
    <row r="145" spans="1:36" x14ac:dyDescent="0.2">
      <c r="A145" s="305"/>
      <c r="B145" s="379"/>
      <c r="C145" s="284"/>
      <c r="D145" s="260"/>
      <c r="E145" s="222">
        <v>2019</v>
      </c>
      <c r="F145" s="222"/>
      <c r="G145" s="222"/>
      <c r="H145" s="222"/>
      <c r="I145" s="222"/>
      <c r="J145" s="222"/>
      <c r="K145" s="249"/>
    </row>
    <row r="146" spans="1:36" x14ac:dyDescent="0.2">
      <c r="A146" s="305"/>
      <c r="B146" s="379"/>
      <c r="C146" s="284"/>
      <c r="D146" s="260"/>
      <c r="E146" s="222">
        <v>2020</v>
      </c>
      <c r="F146" s="222"/>
      <c r="G146" s="222"/>
      <c r="H146" s="222"/>
      <c r="I146" s="222"/>
      <c r="J146" s="222"/>
      <c r="K146" s="249"/>
    </row>
    <row r="147" spans="1:36" ht="58.5" customHeight="1" x14ac:dyDescent="0.2">
      <c r="A147" s="306"/>
      <c r="B147" s="380"/>
      <c r="C147" s="284"/>
      <c r="D147" s="260"/>
      <c r="E147" s="26" t="s">
        <v>18</v>
      </c>
      <c r="F147" s="207"/>
      <c r="G147" s="207"/>
      <c r="H147" s="207"/>
      <c r="I147" s="207"/>
      <c r="J147" s="207"/>
      <c r="K147" s="250"/>
    </row>
    <row r="148" spans="1:36" ht="32.25" customHeight="1" x14ac:dyDescent="0.2">
      <c r="A148" s="418" t="s">
        <v>42</v>
      </c>
      <c r="B148" s="379"/>
      <c r="C148" s="379"/>
      <c r="D148" s="379"/>
      <c r="E148" s="379"/>
      <c r="F148" s="379"/>
      <c r="G148" s="379"/>
      <c r="H148" s="379"/>
      <c r="I148" s="379"/>
      <c r="J148" s="379"/>
      <c r="K148" s="379"/>
      <c r="L148" s="212"/>
      <c r="M148" s="212"/>
      <c r="N148" s="212"/>
      <c r="O148" s="212"/>
      <c r="P148" s="212"/>
      <c r="Q148" s="212"/>
      <c r="R148" s="212"/>
      <c r="S148" s="212"/>
      <c r="T148" s="212"/>
      <c r="U148" s="212"/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/>
      <c r="AF148" s="212"/>
      <c r="AG148" s="212"/>
      <c r="AH148" s="212"/>
      <c r="AI148" s="212"/>
      <c r="AJ148" s="212"/>
    </row>
    <row r="149" spans="1:36" ht="15" x14ac:dyDescent="0.25">
      <c r="A149" s="418" t="s">
        <v>126</v>
      </c>
      <c r="B149" s="470"/>
      <c r="C149" s="471"/>
      <c r="D149" s="470"/>
      <c r="E149" s="470"/>
      <c r="F149" s="470"/>
      <c r="G149" s="470"/>
      <c r="H149" s="470"/>
      <c r="I149" s="470"/>
      <c r="J149" s="470"/>
      <c r="K149" s="470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F149" s="27"/>
      <c r="AG149" s="27"/>
      <c r="AH149" s="27"/>
      <c r="AI149" s="27"/>
      <c r="AJ149" s="27"/>
    </row>
    <row r="150" spans="1:36" ht="15" x14ac:dyDescent="0.25">
      <c r="A150" s="271" t="s">
        <v>266</v>
      </c>
      <c r="B150" s="465" t="s">
        <v>44</v>
      </c>
      <c r="C150" s="272" t="s">
        <v>392</v>
      </c>
      <c r="D150" s="260" t="s">
        <v>449</v>
      </c>
      <c r="E150" s="222">
        <v>2015</v>
      </c>
      <c r="F150" s="7">
        <f t="shared" ref="F150:F155" si="23">SUM(G150:J150)</f>
        <v>289323.7</v>
      </c>
      <c r="G150" s="7"/>
      <c r="H150" s="7">
        <f>313444.2-24120.5</f>
        <v>289323.7</v>
      </c>
      <c r="I150" s="7"/>
      <c r="J150" s="14"/>
      <c r="K150" s="260" t="s">
        <v>45</v>
      </c>
    </row>
    <row r="151" spans="1:36" ht="15" x14ac:dyDescent="0.25">
      <c r="A151" s="271"/>
      <c r="B151" s="466"/>
      <c r="C151" s="284"/>
      <c r="D151" s="260"/>
      <c r="E151" s="222">
        <v>2016</v>
      </c>
      <c r="F151" s="7">
        <f t="shared" si="23"/>
        <v>292770.7</v>
      </c>
      <c r="G151" s="7"/>
      <c r="H151" s="7">
        <f>321212.7-28442</f>
        <v>292770.7</v>
      </c>
      <c r="I151" s="7"/>
      <c r="J151" s="14"/>
      <c r="K151" s="260"/>
      <c r="M151" s="99"/>
    </row>
    <row r="152" spans="1:36" ht="15" x14ac:dyDescent="0.25">
      <c r="A152" s="271"/>
      <c r="B152" s="466"/>
      <c r="C152" s="284"/>
      <c r="D152" s="260"/>
      <c r="E152" s="222">
        <v>2017</v>
      </c>
      <c r="F152" s="7">
        <f t="shared" si="23"/>
        <v>298831.10000000003</v>
      </c>
      <c r="G152" s="7"/>
      <c r="H152" s="7">
        <f>298171.7+659.4</f>
        <v>298831.10000000003</v>
      </c>
      <c r="I152" s="7"/>
      <c r="J152" s="14"/>
      <c r="K152" s="260"/>
      <c r="L152" s="99"/>
      <c r="M152" s="106"/>
    </row>
    <row r="153" spans="1:36" ht="15" x14ac:dyDescent="0.25">
      <c r="A153" s="271"/>
      <c r="B153" s="466"/>
      <c r="C153" s="284"/>
      <c r="D153" s="260"/>
      <c r="E153" s="222">
        <v>2018</v>
      </c>
      <c r="F153" s="7">
        <f t="shared" si="23"/>
        <v>341666.3</v>
      </c>
      <c r="G153" s="7"/>
      <c r="H153" s="7">
        <f>342737.6-1071.3</f>
        <v>341666.3</v>
      </c>
      <c r="I153" s="7"/>
      <c r="J153" s="14"/>
      <c r="K153" s="260"/>
      <c r="L153" s="99"/>
      <c r="M153" s="106"/>
    </row>
    <row r="154" spans="1:36" ht="15" x14ac:dyDescent="0.25">
      <c r="A154" s="271"/>
      <c r="B154" s="466"/>
      <c r="C154" s="284"/>
      <c r="D154" s="260"/>
      <c r="E154" s="222">
        <v>2019</v>
      </c>
      <c r="F154" s="7">
        <f t="shared" si="23"/>
        <v>433240.9</v>
      </c>
      <c r="G154" s="7"/>
      <c r="H154" s="7">
        <f>416246.6+4762.9+12231.4</f>
        <v>433240.9</v>
      </c>
      <c r="I154" s="7"/>
      <c r="J154" s="14"/>
      <c r="K154" s="260"/>
      <c r="L154" s="99"/>
      <c r="M154" s="106"/>
    </row>
    <row r="155" spans="1:36" ht="15" x14ac:dyDescent="0.25">
      <c r="A155" s="271"/>
      <c r="B155" s="466"/>
      <c r="C155" s="284"/>
      <c r="D155" s="260"/>
      <c r="E155" s="222">
        <v>2020</v>
      </c>
      <c r="F155" s="7">
        <f t="shared" si="23"/>
        <v>444400.2</v>
      </c>
      <c r="G155" s="7"/>
      <c r="H155" s="7">
        <f>437502.2-14333.3+21231.3</f>
        <v>444400.2</v>
      </c>
      <c r="I155" s="7"/>
      <c r="J155" s="14"/>
      <c r="K155" s="260"/>
    </row>
    <row r="156" spans="1:36" ht="15" x14ac:dyDescent="0.25">
      <c r="A156" s="271"/>
      <c r="B156" s="466"/>
      <c r="C156" s="284"/>
      <c r="D156" s="260"/>
      <c r="E156" s="222">
        <v>2021</v>
      </c>
      <c r="F156" s="7">
        <f t="shared" ref="F156:F160" si="24">SUM(G156:J156)</f>
        <v>257603.50000000003</v>
      </c>
      <c r="G156" s="7"/>
      <c r="H156" s="7">
        <f>457835.2-39037.8-161193.9</f>
        <v>257603.50000000003</v>
      </c>
      <c r="I156" s="7"/>
      <c r="J156" s="14"/>
      <c r="K156" s="260"/>
    </row>
    <row r="157" spans="1:36" ht="15" x14ac:dyDescent="0.25">
      <c r="A157" s="271"/>
      <c r="B157" s="466"/>
      <c r="C157" s="284"/>
      <c r="D157" s="260"/>
      <c r="E157" s="222">
        <v>2022</v>
      </c>
      <c r="F157" s="7">
        <f t="shared" si="24"/>
        <v>385933.39999999997</v>
      </c>
      <c r="G157" s="7"/>
      <c r="H157" s="7">
        <f>502000-65646.7-50419.9</f>
        <v>385933.39999999997</v>
      </c>
      <c r="I157" s="7"/>
      <c r="J157" s="14"/>
      <c r="K157" s="260"/>
      <c r="M157" s="99"/>
    </row>
    <row r="158" spans="1:36" ht="15" x14ac:dyDescent="0.25">
      <c r="A158" s="271"/>
      <c r="B158" s="466"/>
      <c r="C158" s="284"/>
      <c r="D158" s="260"/>
      <c r="E158" s="222">
        <v>2023</v>
      </c>
      <c r="F158" s="7">
        <f t="shared" si="24"/>
        <v>400085.4</v>
      </c>
      <c r="G158" s="7"/>
      <c r="H158" s="7">
        <f>525092-125006.6</f>
        <v>400085.4</v>
      </c>
      <c r="I158" s="7"/>
      <c r="J158" s="14"/>
      <c r="K158" s="260"/>
      <c r="L158" s="99"/>
      <c r="M158" s="106"/>
    </row>
    <row r="159" spans="1:36" ht="15" x14ac:dyDescent="0.25">
      <c r="A159" s="271"/>
      <c r="B159" s="466"/>
      <c r="C159" s="284"/>
      <c r="D159" s="260"/>
      <c r="E159" s="222">
        <v>2024</v>
      </c>
      <c r="F159" s="7">
        <f t="shared" si="24"/>
        <v>549246.19999999995</v>
      </c>
      <c r="G159" s="7"/>
      <c r="H159" s="7">
        <v>549246.19999999995</v>
      </c>
      <c r="I159" s="7"/>
      <c r="J159" s="14"/>
      <c r="K159" s="260"/>
      <c r="L159" s="99"/>
      <c r="M159" s="106"/>
    </row>
    <row r="160" spans="1:36" ht="15" x14ac:dyDescent="0.25">
      <c r="A160" s="271"/>
      <c r="B160" s="466"/>
      <c r="C160" s="284"/>
      <c r="D160" s="260"/>
      <c r="E160" s="222">
        <v>2025</v>
      </c>
      <c r="F160" s="7">
        <f t="shared" si="24"/>
        <v>574511.5</v>
      </c>
      <c r="G160" s="7"/>
      <c r="H160" s="7">
        <v>574511.5</v>
      </c>
      <c r="I160" s="7"/>
      <c r="J160" s="14"/>
      <c r="K160" s="260"/>
      <c r="L160" s="99"/>
      <c r="M160" s="106"/>
    </row>
    <row r="161" spans="1:14" ht="26.25" customHeight="1" x14ac:dyDescent="0.2">
      <c r="A161" s="271"/>
      <c r="B161" s="466"/>
      <c r="C161" s="284"/>
      <c r="D161" s="260"/>
      <c r="E161" s="18" t="s">
        <v>18</v>
      </c>
      <c r="F161" s="8">
        <f>SUM(F150:F160)</f>
        <v>4267612.9000000004</v>
      </c>
      <c r="G161" s="8"/>
      <c r="H161" s="8">
        <f>SUM(H150:H160)</f>
        <v>4267612.9000000004</v>
      </c>
      <c r="I161" s="8"/>
      <c r="J161" s="13"/>
      <c r="K161" s="260"/>
    </row>
    <row r="162" spans="1:14" ht="15" x14ac:dyDescent="0.25">
      <c r="A162" s="271" t="s">
        <v>46</v>
      </c>
      <c r="B162" s="465" t="s">
        <v>47</v>
      </c>
      <c r="C162" s="272" t="s">
        <v>392</v>
      </c>
      <c r="D162" s="260" t="s">
        <v>449</v>
      </c>
      <c r="E162" s="222">
        <v>2015</v>
      </c>
      <c r="F162" s="7">
        <f t="shared" ref="F162:F167" si="25">SUM(G162:J162)</f>
        <v>51438.500000000007</v>
      </c>
      <c r="G162" s="7"/>
      <c r="H162" s="7"/>
      <c r="I162" s="7">
        <f>54650+6257.8-2384.6-2000-2408.2-401.3-516.2-1759</f>
        <v>51438.500000000007</v>
      </c>
      <c r="J162" s="14"/>
      <c r="K162" s="260"/>
    </row>
    <row r="163" spans="1:14" ht="15" x14ac:dyDescent="0.25">
      <c r="A163" s="271"/>
      <c r="B163" s="466"/>
      <c r="C163" s="284"/>
      <c r="D163" s="260"/>
      <c r="E163" s="222">
        <v>2016</v>
      </c>
      <c r="F163" s="7">
        <f t="shared" si="25"/>
        <v>51482.5</v>
      </c>
      <c r="G163" s="7"/>
      <c r="H163" s="7"/>
      <c r="I163" s="7">
        <f>57382.5-5400-500</f>
        <v>51482.5</v>
      </c>
      <c r="J163" s="14"/>
      <c r="K163" s="260"/>
    </row>
    <row r="164" spans="1:14" ht="15" x14ac:dyDescent="0.25">
      <c r="A164" s="271"/>
      <c r="B164" s="466"/>
      <c r="C164" s="284"/>
      <c r="D164" s="260"/>
      <c r="E164" s="222">
        <v>2017</v>
      </c>
      <c r="F164" s="7">
        <f t="shared" si="25"/>
        <v>51797.700000000004</v>
      </c>
      <c r="G164" s="7"/>
      <c r="H164" s="7"/>
      <c r="I164" s="7">
        <f>48417.9+4379.8-1000</f>
        <v>51797.700000000004</v>
      </c>
      <c r="J164" s="14"/>
      <c r="K164" s="260"/>
      <c r="L164" s="99">
        <v>4379.8</v>
      </c>
      <c r="M164" s="106" t="s">
        <v>314</v>
      </c>
      <c r="N164" s="99"/>
    </row>
    <row r="165" spans="1:14" ht="15" x14ac:dyDescent="0.25">
      <c r="A165" s="271"/>
      <c r="B165" s="466"/>
      <c r="C165" s="284"/>
      <c r="D165" s="260"/>
      <c r="E165" s="222">
        <v>2018</v>
      </c>
      <c r="F165" s="7">
        <f t="shared" si="25"/>
        <v>68754.5</v>
      </c>
      <c r="G165" s="7"/>
      <c r="H165" s="7"/>
      <c r="I165" s="7">
        <f>61693.8+7060.7</f>
        <v>68754.5</v>
      </c>
      <c r="J165" s="14"/>
      <c r="K165" s="260"/>
      <c r="L165" s="99"/>
      <c r="M165" s="106"/>
    </row>
    <row r="166" spans="1:14" ht="15" x14ac:dyDescent="0.25">
      <c r="A166" s="271"/>
      <c r="B166" s="466"/>
      <c r="C166" s="284"/>
      <c r="D166" s="260"/>
      <c r="E166" s="222">
        <v>2019</v>
      </c>
      <c r="F166" s="7">
        <f t="shared" si="25"/>
        <v>80962.599999999991</v>
      </c>
      <c r="G166" s="7"/>
      <c r="H166" s="7"/>
      <c r="I166" s="7">
        <f>78453+3831.2-1321.6</f>
        <v>80962.599999999991</v>
      </c>
      <c r="J166" s="14"/>
      <c r="K166" s="260"/>
      <c r="L166" s="99"/>
      <c r="M166" s="106"/>
    </row>
    <row r="167" spans="1:14" ht="15" x14ac:dyDescent="0.25">
      <c r="A167" s="271"/>
      <c r="B167" s="466"/>
      <c r="C167" s="284"/>
      <c r="D167" s="260"/>
      <c r="E167" s="222">
        <v>2020</v>
      </c>
      <c r="F167" s="7">
        <f t="shared" si="25"/>
        <v>79167.600000000006</v>
      </c>
      <c r="G167" s="7"/>
      <c r="H167" s="7"/>
      <c r="I167" s="7">
        <f>78453-44718.2+47189.4-1756.6</f>
        <v>79167.600000000006</v>
      </c>
      <c r="J167" s="14"/>
      <c r="K167" s="260"/>
    </row>
    <row r="168" spans="1:14" ht="15" x14ac:dyDescent="0.25">
      <c r="A168" s="271"/>
      <c r="B168" s="466"/>
      <c r="C168" s="284"/>
      <c r="D168" s="260"/>
      <c r="E168" s="222">
        <v>2021</v>
      </c>
      <c r="F168" s="7">
        <f t="shared" ref="F168:F171" si="26">SUM(G168:J168)</f>
        <v>71728</v>
      </c>
      <c r="G168" s="7"/>
      <c r="H168" s="7"/>
      <c r="I168" s="7">
        <f>78453-44718.2+51012.6-13019.4</f>
        <v>71728</v>
      </c>
      <c r="J168" s="14"/>
      <c r="K168" s="260"/>
    </row>
    <row r="169" spans="1:14" ht="15" x14ac:dyDescent="0.25">
      <c r="A169" s="271"/>
      <c r="B169" s="466"/>
      <c r="C169" s="284"/>
      <c r="D169" s="260"/>
      <c r="E169" s="222">
        <v>2022</v>
      </c>
      <c r="F169" s="7">
        <f t="shared" si="26"/>
        <v>75249</v>
      </c>
      <c r="G169" s="7"/>
      <c r="H169" s="7"/>
      <c r="I169" s="7">
        <f>81591.1-7606.1-38458.9+39722.9</f>
        <v>75249</v>
      </c>
      <c r="J169" s="14"/>
      <c r="K169" s="260"/>
      <c r="L169" s="99">
        <v>4379.8</v>
      </c>
      <c r="M169" s="106" t="s">
        <v>314</v>
      </c>
      <c r="N169" s="99"/>
    </row>
    <row r="170" spans="1:14" ht="15" x14ac:dyDescent="0.25">
      <c r="A170" s="271"/>
      <c r="B170" s="466"/>
      <c r="C170" s="284"/>
      <c r="D170" s="260"/>
      <c r="E170" s="222">
        <v>2023</v>
      </c>
      <c r="F170" s="7">
        <f t="shared" si="26"/>
        <v>65629</v>
      </c>
      <c r="G170" s="7"/>
      <c r="H170" s="7"/>
      <c r="I170" s="7">
        <f>84854.7-19225.7</f>
        <v>65629</v>
      </c>
      <c r="J170" s="14"/>
      <c r="K170" s="260"/>
      <c r="L170" s="99"/>
      <c r="M170" s="106"/>
    </row>
    <row r="171" spans="1:14" ht="15" x14ac:dyDescent="0.25">
      <c r="A171" s="271"/>
      <c r="B171" s="466"/>
      <c r="C171" s="284"/>
      <c r="D171" s="260"/>
      <c r="E171" s="222">
        <v>2024</v>
      </c>
      <c r="F171" s="7">
        <f t="shared" si="26"/>
        <v>88248.9</v>
      </c>
      <c r="G171" s="7"/>
      <c r="H171" s="7"/>
      <c r="I171" s="7">
        <v>88248.9</v>
      </c>
      <c r="J171" s="14"/>
      <c r="K171" s="260"/>
      <c r="L171" s="99"/>
      <c r="M171" s="106"/>
    </row>
    <row r="172" spans="1:14" ht="15" x14ac:dyDescent="0.25">
      <c r="A172" s="271"/>
      <c r="B172" s="466"/>
      <c r="C172" s="284"/>
      <c r="D172" s="260"/>
      <c r="E172" s="222">
        <v>2025</v>
      </c>
      <c r="F172" s="7">
        <f t="shared" ref="F172" si="27">SUM(G172:J172)</f>
        <v>91778.9</v>
      </c>
      <c r="G172" s="7"/>
      <c r="H172" s="7"/>
      <c r="I172" s="7">
        <v>91778.9</v>
      </c>
      <c r="J172" s="14"/>
      <c r="K172" s="260"/>
      <c r="L172" s="99"/>
      <c r="M172" s="106"/>
    </row>
    <row r="173" spans="1:14" ht="47.25" customHeight="1" x14ac:dyDescent="0.2">
      <c r="A173" s="271"/>
      <c r="B173" s="466"/>
      <c r="C173" s="284"/>
      <c r="D173" s="260"/>
      <c r="E173" s="18" t="s">
        <v>18</v>
      </c>
      <c r="F173" s="8">
        <f>SUM(F162:F172)</f>
        <v>776237.20000000007</v>
      </c>
      <c r="G173" s="8"/>
      <c r="H173" s="8"/>
      <c r="I173" s="8">
        <f>SUM(I162:I172)</f>
        <v>776237.20000000007</v>
      </c>
      <c r="J173" s="13"/>
      <c r="K173" s="260"/>
    </row>
    <row r="174" spans="1:14" x14ac:dyDescent="0.2">
      <c r="A174" s="305" t="s">
        <v>48</v>
      </c>
      <c r="B174" s="273" t="s">
        <v>49</v>
      </c>
      <c r="C174" s="272" t="s">
        <v>122</v>
      </c>
      <c r="D174" s="342" t="s">
        <v>449</v>
      </c>
      <c r="E174" s="222">
        <v>2015</v>
      </c>
      <c r="F174" s="2"/>
      <c r="G174" s="2"/>
      <c r="H174" s="2"/>
      <c r="I174" s="2"/>
      <c r="J174" s="2"/>
      <c r="K174" s="248" t="s">
        <v>50</v>
      </c>
    </row>
    <row r="175" spans="1:14" x14ac:dyDescent="0.2">
      <c r="A175" s="305"/>
      <c r="B175" s="274"/>
      <c r="C175" s="284"/>
      <c r="D175" s="343"/>
      <c r="E175" s="222">
        <v>2016</v>
      </c>
      <c r="F175" s="2"/>
      <c r="G175" s="2"/>
      <c r="H175" s="2"/>
      <c r="I175" s="2"/>
      <c r="J175" s="2"/>
      <c r="K175" s="249"/>
    </row>
    <row r="176" spans="1:14" x14ac:dyDescent="0.2">
      <c r="A176" s="305"/>
      <c r="B176" s="274"/>
      <c r="C176" s="284"/>
      <c r="D176" s="343"/>
      <c r="E176" s="222">
        <v>2017</v>
      </c>
      <c r="F176" s="2"/>
      <c r="G176" s="2"/>
      <c r="H176" s="2"/>
      <c r="I176" s="2"/>
      <c r="J176" s="2"/>
      <c r="K176" s="249"/>
    </row>
    <row r="177" spans="1:12" x14ac:dyDescent="0.2">
      <c r="A177" s="305"/>
      <c r="B177" s="274"/>
      <c r="C177" s="284"/>
      <c r="D177" s="343"/>
      <c r="E177" s="222">
        <v>2018</v>
      </c>
      <c r="F177" s="2"/>
      <c r="G177" s="2"/>
      <c r="H177" s="2"/>
      <c r="I177" s="2"/>
      <c r="J177" s="2"/>
      <c r="K177" s="249"/>
    </row>
    <row r="178" spans="1:12" x14ac:dyDescent="0.2">
      <c r="A178" s="305"/>
      <c r="B178" s="274"/>
      <c r="C178" s="284"/>
      <c r="D178" s="343"/>
      <c r="E178" s="222">
        <v>2019</v>
      </c>
      <c r="F178" s="2"/>
      <c r="G178" s="2"/>
      <c r="H178" s="2"/>
      <c r="I178" s="2"/>
      <c r="J178" s="2"/>
      <c r="K178" s="249"/>
      <c r="L178" s="99"/>
    </row>
    <row r="179" spans="1:12" x14ac:dyDescent="0.2">
      <c r="A179" s="305"/>
      <c r="B179" s="274"/>
      <c r="C179" s="284"/>
      <c r="D179" s="343"/>
      <c r="E179" s="222">
        <v>2020</v>
      </c>
      <c r="F179" s="2"/>
      <c r="G179" s="2"/>
      <c r="H179" s="2"/>
      <c r="I179" s="2"/>
      <c r="J179" s="2"/>
      <c r="K179" s="249"/>
    </row>
    <row r="180" spans="1:12" ht="92.25" customHeight="1" x14ac:dyDescent="0.2">
      <c r="A180" s="305"/>
      <c r="B180" s="274"/>
      <c r="C180" s="284"/>
      <c r="D180" s="344"/>
      <c r="E180" s="18" t="s">
        <v>18</v>
      </c>
      <c r="F180" s="2"/>
      <c r="G180" s="2"/>
      <c r="H180" s="2"/>
      <c r="I180" s="2"/>
      <c r="J180" s="2"/>
      <c r="K180" s="250"/>
    </row>
    <row r="181" spans="1:12" x14ac:dyDescent="0.2">
      <c r="A181" s="307" t="s">
        <v>267</v>
      </c>
      <c r="B181" s="467" t="s">
        <v>220</v>
      </c>
      <c r="C181" s="272" t="s">
        <v>122</v>
      </c>
      <c r="D181" s="343" t="s">
        <v>449</v>
      </c>
      <c r="E181" s="208">
        <v>2015</v>
      </c>
      <c r="F181" s="1"/>
      <c r="G181" s="1"/>
      <c r="H181" s="1"/>
      <c r="I181" s="1"/>
      <c r="J181" s="1"/>
      <c r="K181" s="249" t="s">
        <v>51</v>
      </c>
    </row>
    <row r="182" spans="1:12" x14ac:dyDescent="0.2">
      <c r="A182" s="305"/>
      <c r="B182" s="467"/>
      <c r="C182" s="284"/>
      <c r="D182" s="343"/>
      <c r="E182" s="222">
        <v>2016</v>
      </c>
      <c r="F182" s="2"/>
      <c r="G182" s="2"/>
      <c r="H182" s="2"/>
      <c r="I182" s="2"/>
      <c r="J182" s="2"/>
      <c r="K182" s="249"/>
    </row>
    <row r="183" spans="1:12" x14ac:dyDescent="0.2">
      <c r="A183" s="305"/>
      <c r="B183" s="467"/>
      <c r="C183" s="284"/>
      <c r="D183" s="343"/>
      <c r="E183" s="222">
        <v>2017</v>
      </c>
      <c r="F183" s="2"/>
      <c r="G183" s="2"/>
      <c r="H183" s="2"/>
      <c r="I183" s="2"/>
      <c r="J183" s="2"/>
      <c r="K183" s="249"/>
      <c r="L183" s="99"/>
    </row>
    <row r="184" spans="1:12" x14ac:dyDescent="0.2">
      <c r="A184" s="305"/>
      <c r="B184" s="467"/>
      <c r="C184" s="284"/>
      <c r="D184" s="343"/>
      <c r="E184" s="222">
        <v>2018</v>
      </c>
      <c r="F184" s="2"/>
      <c r="G184" s="2"/>
      <c r="H184" s="2"/>
      <c r="I184" s="2"/>
      <c r="J184" s="2"/>
      <c r="K184" s="249"/>
    </row>
    <row r="185" spans="1:12" x14ac:dyDescent="0.2">
      <c r="A185" s="305"/>
      <c r="B185" s="467"/>
      <c r="C185" s="284"/>
      <c r="D185" s="343"/>
      <c r="E185" s="222">
        <v>2019</v>
      </c>
      <c r="F185" s="2"/>
      <c r="G185" s="2"/>
      <c r="H185" s="2"/>
      <c r="I185" s="2"/>
      <c r="J185" s="2"/>
      <c r="K185" s="249"/>
    </row>
    <row r="186" spans="1:12" x14ac:dyDescent="0.2">
      <c r="A186" s="305"/>
      <c r="B186" s="467"/>
      <c r="C186" s="284"/>
      <c r="D186" s="343"/>
      <c r="E186" s="222">
        <v>2020</v>
      </c>
      <c r="F186" s="2"/>
      <c r="G186" s="2"/>
      <c r="H186" s="2"/>
      <c r="I186" s="2"/>
      <c r="J186" s="2"/>
      <c r="K186" s="249"/>
    </row>
    <row r="187" spans="1:12" ht="77.25" customHeight="1" x14ac:dyDescent="0.2">
      <c r="A187" s="305"/>
      <c r="B187" s="468"/>
      <c r="C187" s="284"/>
      <c r="D187" s="344"/>
      <c r="E187" s="18" t="s">
        <v>18</v>
      </c>
      <c r="F187" s="2"/>
      <c r="G187" s="2"/>
      <c r="H187" s="2"/>
      <c r="I187" s="2"/>
      <c r="J187" s="2"/>
      <c r="K187" s="250"/>
    </row>
    <row r="188" spans="1:12" x14ac:dyDescent="0.2">
      <c r="A188" s="305" t="s">
        <v>268</v>
      </c>
      <c r="B188" s="280" t="s">
        <v>52</v>
      </c>
      <c r="C188" s="272" t="s">
        <v>122</v>
      </c>
      <c r="D188" s="342" t="s">
        <v>449</v>
      </c>
      <c r="E188" s="222">
        <v>2015</v>
      </c>
      <c r="F188" s="456" t="s">
        <v>53</v>
      </c>
      <c r="G188" s="457"/>
      <c r="H188" s="457"/>
      <c r="I188" s="457"/>
      <c r="J188" s="458"/>
      <c r="K188" s="248" t="s">
        <v>54</v>
      </c>
    </row>
    <row r="189" spans="1:12" x14ac:dyDescent="0.2">
      <c r="A189" s="305"/>
      <c r="B189" s="355"/>
      <c r="C189" s="284"/>
      <c r="D189" s="343"/>
      <c r="E189" s="222">
        <v>2016</v>
      </c>
      <c r="F189" s="459"/>
      <c r="G189" s="460"/>
      <c r="H189" s="460"/>
      <c r="I189" s="460"/>
      <c r="J189" s="461"/>
      <c r="K189" s="249"/>
    </row>
    <row r="190" spans="1:12" x14ac:dyDescent="0.2">
      <c r="A190" s="305"/>
      <c r="B190" s="355"/>
      <c r="C190" s="284"/>
      <c r="D190" s="343"/>
      <c r="E190" s="222">
        <v>2017</v>
      </c>
      <c r="F190" s="459"/>
      <c r="G190" s="460"/>
      <c r="H190" s="460"/>
      <c r="I190" s="460"/>
      <c r="J190" s="461"/>
      <c r="K190" s="249"/>
    </row>
    <row r="191" spans="1:12" x14ac:dyDescent="0.2">
      <c r="A191" s="305"/>
      <c r="B191" s="355"/>
      <c r="C191" s="284"/>
      <c r="D191" s="343"/>
      <c r="E191" s="222">
        <v>2018</v>
      </c>
      <c r="F191" s="459"/>
      <c r="G191" s="460"/>
      <c r="H191" s="460"/>
      <c r="I191" s="460"/>
      <c r="J191" s="461"/>
      <c r="K191" s="249"/>
      <c r="L191" s="99"/>
    </row>
    <row r="192" spans="1:12" x14ac:dyDescent="0.2">
      <c r="A192" s="305"/>
      <c r="B192" s="355"/>
      <c r="C192" s="284"/>
      <c r="D192" s="343"/>
      <c r="E192" s="222">
        <v>2019</v>
      </c>
      <c r="F192" s="459"/>
      <c r="G192" s="460"/>
      <c r="H192" s="460"/>
      <c r="I192" s="460"/>
      <c r="J192" s="461"/>
      <c r="K192" s="249"/>
    </row>
    <row r="193" spans="1:16" x14ac:dyDescent="0.2">
      <c r="A193" s="305"/>
      <c r="B193" s="355"/>
      <c r="C193" s="284"/>
      <c r="D193" s="343"/>
      <c r="E193" s="222">
        <v>2020</v>
      </c>
      <c r="F193" s="459"/>
      <c r="G193" s="460"/>
      <c r="H193" s="460"/>
      <c r="I193" s="460"/>
      <c r="J193" s="461"/>
      <c r="K193" s="249"/>
    </row>
    <row r="194" spans="1:16" ht="15.75" customHeight="1" x14ac:dyDescent="0.2">
      <c r="A194" s="305"/>
      <c r="B194" s="281"/>
      <c r="C194" s="284"/>
      <c r="D194" s="344"/>
      <c r="E194" s="18" t="s">
        <v>18</v>
      </c>
      <c r="F194" s="462"/>
      <c r="G194" s="463"/>
      <c r="H194" s="463"/>
      <c r="I194" s="463"/>
      <c r="J194" s="464"/>
      <c r="K194" s="249"/>
    </row>
    <row r="195" spans="1:16" x14ac:dyDescent="0.2">
      <c r="A195" s="305" t="s">
        <v>269</v>
      </c>
      <c r="B195" s="273" t="s">
        <v>55</v>
      </c>
      <c r="C195" s="272" t="s">
        <v>122</v>
      </c>
      <c r="D195" s="342" t="s">
        <v>449</v>
      </c>
      <c r="E195" s="222">
        <v>2015</v>
      </c>
      <c r="F195" s="326" t="s">
        <v>56</v>
      </c>
      <c r="G195" s="327"/>
      <c r="H195" s="327"/>
      <c r="I195" s="327"/>
      <c r="J195" s="328"/>
      <c r="K195" s="261"/>
    </row>
    <row r="196" spans="1:16" x14ac:dyDescent="0.2">
      <c r="A196" s="305"/>
      <c r="B196" s="273"/>
      <c r="C196" s="284"/>
      <c r="D196" s="343"/>
      <c r="E196" s="222">
        <v>2016</v>
      </c>
      <c r="F196" s="329"/>
      <c r="G196" s="330"/>
      <c r="H196" s="330"/>
      <c r="I196" s="330"/>
      <c r="J196" s="331"/>
      <c r="K196" s="261"/>
    </row>
    <row r="197" spans="1:16" x14ac:dyDescent="0.2">
      <c r="A197" s="305"/>
      <c r="B197" s="273"/>
      <c r="C197" s="284"/>
      <c r="D197" s="343"/>
      <c r="E197" s="222">
        <v>2017</v>
      </c>
      <c r="F197" s="329"/>
      <c r="G197" s="330"/>
      <c r="H197" s="330"/>
      <c r="I197" s="330"/>
      <c r="J197" s="331"/>
      <c r="K197" s="261"/>
    </row>
    <row r="198" spans="1:16" x14ac:dyDescent="0.2">
      <c r="A198" s="305"/>
      <c r="B198" s="273"/>
      <c r="C198" s="284"/>
      <c r="D198" s="343"/>
      <c r="E198" s="222">
        <v>2018</v>
      </c>
      <c r="F198" s="329"/>
      <c r="G198" s="330"/>
      <c r="H198" s="330"/>
      <c r="I198" s="330"/>
      <c r="J198" s="331"/>
      <c r="K198" s="261"/>
    </row>
    <row r="199" spans="1:16" x14ac:dyDescent="0.2">
      <c r="A199" s="305"/>
      <c r="B199" s="273"/>
      <c r="C199" s="284"/>
      <c r="D199" s="343"/>
      <c r="E199" s="222">
        <v>2019</v>
      </c>
      <c r="F199" s="329"/>
      <c r="G199" s="330"/>
      <c r="H199" s="330"/>
      <c r="I199" s="330"/>
      <c r="J199" s="331"/>
      <c r="K199" s="261"/>
    </row>
    <row r="200" spans="1:16" x14ac:dyDescent="0.2">
      <c r="A200" s="305"/>
      <c r="B200" s="273"/>
      <c r="C200" s="284"/>
      <c r="D200" s="343"/>
      <c r="E200" s="222">
        <v>2020</v>
      </c>
      <c r="F200" s="332"/>
      <c r="G200" s="333"/>
      <c r="H200" s="333"/>
      <c r="I200" s="333"/>
      <c r="J200" s="334"/>
      <c r="K200" s="261"/>
    </row>
    <row r="201" spans="1:16" x14ac:dyDescent="0.2">
      <c r="A201" s="305"/>
      <c r="B201" s="273"/>
      <c r="C201" s="284"/>
      <c r="D201" s="344"/>
      <c r="E201" s="26" t="s">
        <v>18</v>
      </c>
      <c r="F201" s="207"/>
      <c r="G201" s="207"/>
      <c r="H201" s="207"/>
      <c r="I201" s="207"/>
      <c r="J201" s="207"/>
      <c r="K201" s="277"/>
    </row>
    <row r="202" spans="1:16" ht="14.25" customHeight="1" x14ac:dyDescent="0.25">
      <c r="A202" s="349" t="s">
        <v>270</v>
      </c>
      <c r="B202" s="346" t="s">
        <v>124</v>
      </c>
      <c r="C202" s="276" t="s">
        <v>398</v>
      </c>
      <c r="D202" s="248" t="s">
        <v>449</v>
      </c>
      <c r="E202" s="222">
        <v>2016</v>
      </c>
      <c r="F202" s="7">
        <f>SUM(G202:J202)</f>
        <v>12886.900000000001</v>
      </c>
      <c r="G202" s="10"/>
      <c r="H202" s="10">
        <f>13077.7-190.8</f>
        <v>12886.900000000001</v>
      </c>
      <c r="I202" s="10"/>
      <c r="J202" s="22"/>
      <c r="K202" s="248" t="s">
        <v>134</v>
      </c>
    </row>
    <row r="203" spans="1:16" ht="14.25" customHeight="1" x14ac:dyDescent="0.25">
      <c r="A203" s="350"/>
      <c r="B203" s="347"/>
      <c r="C203" s="290"/>
      <c r="D203" s="249"/>
      <c r="E203" s="222">
        <v>2017</v>
      </c>
      <c r="F203" s="7">
        <f t="shared" ref="F203:F204" si="28">SUM(G203:J203)</f>
        <v>12955</v>
      </c>
      <c r="G203" s="10"/>
      <c r="H203" s="10">
        <f>12995.9-40.9</f>
        <v>12955</v>
      </c>
      <c r="I203" s="10"/>
      <c r="J203" s="22"/>
      <c r="K203" s="249"/>
      <c r="L203" s="99"/>
    </row>
    <row r="204" spans="1:16" ht="15" customHeight="1" x14ac:dyDescent="0.25">
      <c r="A204" s="350"/>
      <c r="B204" s="347"/>
      <c r="C204" s="290"/>
      <c r="D204" s="249"/>
      <c r="E204" s="222">
        <v>2018</v>
      </c>
      <c r="F204" s="7">
        <f t="shared" si="28"/>
        <v>9816</v>
      </c>
      <c r="G204" s="10"/>
      <c r="H204" s="10">
        <f>9994.9-178.9</f>
        <v>9816</v>
      </c>
      <c r="I204" s="10"/>
      <c r="J204" s="22"/>
      <c r="K204" s="249"/>
      <c r="M204" s="82"/>
      <c r="N204" s="82" t="s">
        <v>418</v>
      </c>
      <c r="O204" s="82" t="s">
        <v>441</v>
      </c>
      <c r="P204" s="82" t="s">
        <v>442</v>
      </c>
    </row>
    <row r="205" spans="1:16" ht="13.5" customHeight="1" x14ac:dyDescent="0.25">
      <c r="A205" s="350"/>
      <c r="B205" s="347"/>
      <c r="C205" s="290"/>
      <c r="D205" s="249"/>
      <c r="E205" s="222">
        <v>2019</v>
      </c>
      <c r="F205" s="7">
        <f t="shared" ref="F205" si="29">SUM(G205:J205)</f>
        <v>10020.4</v>
      </c>
      <c r="G205" s="10"/>
      <c r="H205" s="10">
        <f>9882.4+138</f>
        <v>10020.4</v>
      </c>
      <c r="I205" s="10"/>
      <c r="J205" s="22"/>
      <c r="K205" s="249"/>
      <c r="L205" s="99"/>
      <c r="M205" s="82">
        <v>2020</v>
      </c>
      <c r="N205" s="224">
        <f>O205+P205</f>
        <v>620553.9</v>
      </c>
      <c r="O205" s="224">
        <f>H206+H155+H88+H74+H34</f>
        <v>469459.7</v>
      </c>
      <c r="P205" s="224">
        <f>I167+I99+I88+I64+I34</f>
        <v>151094.20000000001</v>
      </c>
    </row>
    <row r="206" spans="1:16" ht="16.5" customHeight="1" x14ac:dyDescent="0.25">
      <c r="A206" s="350"/>
      <c r="B206" s="347"/>
      <c r="C206" s="290"/>
      <c r="D206" s="249"/>
      <c r="E206" s="222">
        <v>2020</v>
      </c>
      <c r="F206" s="10">
        <f>H206</f>
        <v>7992.6</v>
      </c>
      <c r="G206" s="10"/>
      <c r="H206" s="10">
        <f>9882.4+102.2-1992</f>
        <v>7992.6</v>
      </c>
      <c r="I206" s="10"/>
      <c r="J206" s="22"/>
      <c r="K206" s="249"/>
      <c r="M206" s="82">
        <v>2021</v>
      </c>
      <c r="N206" s="224">
        <f t="shared" ref="N206:N210" si="30">O206+P206</f>
        <v>425818.4</v>
      </c>
      <c r="O206" s="224">
        <f>H207+H156+H75+H35</f>
        <v>277464.30000000005</v>
      </c>
      <c r="P206" s="224">
        <f>I35+I65+I168</f>
        <v>148354.1</v>
      </c>
    </row>
    <row r="207" spans="1:16" ht="14.25" customHeight="1" x14ac:dyDescent="0.25">
      <c r="A207" s="350"/>
      <c r="B207" s="347"/>
      <c r="C207" s="290"/>
      <c r="D207" s="249"/>
      <c r="E207" s="222">
        <v>2021</v>
      </c>
      <c r="F207" s="7">
        <f t="shared" ref="F207:F208" si="31">SUM(G207:J207)</f>
        <v>8794.9</v>
      </c>
      <c r="G207" s="10"/>
      <c r="H207" s="10">
        <f>9882.4+153.3-1240.8</f>
        <v>8794.9</v>
      </c>
      <c r="I207" s="10"/>
      <c r="J207" s="22"/>
      <c r="K207" s="249"/>
      <c r="L207" s="99"/>
      <c r="M207" s="82">
        <v>2022</v>
      </c>
      <c r="N207" s="224">
        <f t="shared" si="30"/>
        <v>506382.9</v>
      </c>
      <c r="O207" s="224">
        <f>H208+H157+H76+H36</f>
        <v>405794.2</v>
      </c>
      <c r="P207" s="224">
        <f>I169+I66+I36</f>
        <v>100588.7</v>
      </c>
    </row>
    <row r="208" spans="1:16" ht="15" customHeight="1" x14ac:dyDescent="0.25">
      <c r="A208" s="350"/>
      <c r="B208" s="347"/>
      <c r="C208" s="290"/>
      <c r="D208" s="249"/>
      <c r="E208" s="222">
        <v>2022</v>
      </c>
      <c r="F208" s="7">
        <f t="shared" si="31"/>
        <v>8794.9000000000015</v>
      </c>
      <c r="G208" s="10"/>
      <c r="H208" s="10">
        <f>11000-943.8-1261.3</f>
        <v>8794.9000000000015</v>
      </c>
      <c r="I208" s="10"/>
      <c r="J208" s="22"/>
      <c r="K208" s="249"/>
      <c r="M208" s="82">
        <v>2023</v>
      </c>
      <c r="N208" s="224">
        <f t="shared" si="30"/>
        <v>492943.20000000007</v>
      </c>
      <c r="O208" s="224">
        <f>H209+H158+H77</f>
        <v>419946.20000000007</v>
      </c>
      <c r="P208" s="224">
        <f>I170+I67</f>
        <v>72997</v>
      </c>
    </row>
    <row r="209" spans="1:32" ht="13.5" customHeight="1" x14ac:dyDescent="0.25">
      <c r="A209" s="350"/>
      <c r="B209" s="347"/>
      <c r="C209" s="290"/>
      <c r="D209" s="249"/>
      <c r="E209" s="222">
        <v>2023</v>
      </c>
      <c r="F209" s="7">
        <f t="shared" ref="F209" si="32">SUM(G209:J209)</f>
        <v>8794.9</v>
      </c>
      <c r="G209" s="10"/>
      <c r="H209" s="10">
        <f>11506-2711.1</f>
        <v>8794.9</v>
      </c>
      <c r="I209" s="10"/>
      <c r="J209" s="22"/>
      <c r="K209" s="249"/>
      <c r="L209" s="99"/>
      <c r="M209" s="82">
        <v>2024</v>
      </c>
      <c r="N209" s="224">
        <f t="shared" si="30"/>
        <v>678586.39999999991</v>
      </c>
      <c r="O209" s="224">
        <f>H210+H159+H78</f>
        <v>577693.19999999995</v>
      </c>
      <c r="P209" s="224">
        <f>I171+I68</f>
        <v>100893.2</v>
      </c>
    </row>
    <row r="210" spans="1:32" ht="16.5" customHeight="1" x14ac:dyDescent="0.25">
      <c r="A210" s="350"/>
      <c r="B210" s="347"/>
      <c r="C210" s="290"/>
      <c r="D210" s="249"/>
      <c r="E210" s="222">
        <v>2024</v>
      </c>
      <c r="F210" s="10">
        <f>H210</f>
        <v>12035.3</v>
      </c>
      <c r="G210" s="10"/>
      <c r="H210" s="10">
        <v>12035.3</v>
      </c>
      <c r="I210" s="10"/>
      <c r="J210" s="22"/>
      <c r="K210" s="249"/>
      <c r="M210" s="82">
        <v>2025</v>
      </c>
      <c r="N210" s="224">
        <f t="shared" si="30"/>
        <v>709196.1</v>
      </c>
      <c r="O210" s="224">
        <f>H211+H160+H79</f>
        <v>604267.1</v>
      </c>
      <c r="P210" s="224">
        <f>I172+I69</f>
        <v>104929</v>
      </c>
    </row>
    <row r="211" spans="1:32" ht="16.5" customHeight="1" x14ac:dyDescent="0.25">
      <c r="A211" s="350"/>
      <c r="B211" s="347"/>
      <c r="C211" s="290"/>
      <c r="D211" s="249"/>
      <c r="E211" s="222">
        <v>2025</v>
      </c>
      <c r="F211" s="10">
        <f>H211</f>
        <v>12588.9</v>
      </c>
      <c r="G211" s="10"/>
      <c r="H211" s="10">
        <v>12588.9</v>
      </c>
      <c r="I211" s="10"/>
      <c r="J211" s="22"/>
      <c r="K211" s="249"/>
    </row>
    <row r="212" spans="1:32" ht="16.5" customHeight="1" x14ac:dyDescent="0.25">
      <c r="A212" s="351"/>
      <c r="B212" s="348"/>
      <c r="C212" s="282"/>
      <c r="D212" s="250"/>
      <c r="E212" s="18" t="s">
        <v>18</v>
      </c>
      <c r="F212" s="10">
        <f>SUM(F202:F211)</f>
        <v>104679.8</v>
      </c>
      <c r="G212" s="10"/>
      <c r="H212" s="10">
        <f>SUM(H202:H211)</f>
        <v>104679.8</v>
      </c>
      <c r="I212" s="10"/>
      <c r="J212" s="22"/>
      <c r="K212" s="250"/>
      <c r="P212" s="99"/>
    </row>
    <row r="213" spans="1:32" ht="23.25" customHeight="1" thickBot="1" x14ac:dyDescent="0.25">
      <c r="A213" s="352" t="s">
        <v>184</v>
      </c>
      <c r="B213" s="353"/>
      <c r="C213" s="353"/>
      <c r="D213" s="354"/>
      <c r="E213" s="214"/>
      <c r="F213" s="145">
        <f>F201+F187+F180+F161+F173+F212</f>
        <v>5148529.9000000004</v>
      </c>
      <c r="G213" s="145"/>
      <c r="H213" s="145">
        <f>H201+H187+H180+H161+H173+H212</f>
        <v>4372292.7</v>
      </c>
      <c r="I213" s="145">
        <f>I201+I187+I180+I161+I173+I212</f>
        <v>776237.20000000007</v>
      </c>
      <c r="J213" s="17"/>
      <c r="K213" s="37"/>
      <c r="L213" s="117"/>
      <c r="M213" s="99"/>
      <c r="N213" s="117"/>
      <c r="O213" s="99"/>
      <c r="P213" s="117"/>
    </row>
    <row r="214" spans="1:32" ht="25.5" customHeight="1" thickBot="1" x14ac:dyDescent="0.25">
      <c r="A214" s="335" t="s">
        <v>189</v>
      </c>
      <c r="B214" s="336"/>
      <c r="C214" s="336"/>
      <c r="D214" s="336"/>
      <c r="E214" s="165"/>
      <c r="F214" s="166">
        <f>SUM(G214:I214)</f>
        <v>5903574.4000000004</v>
      </c>
      <c r="G214" s="166"/>
      <c r="H214" s="166">
        <f>H213+H121</f>
        <v>4675517.1000000006</v>
      </c>
      <c r="I214" s="166">
        <f>I213+I121</f>
        <v>1228057.3</v>
      </c>
      <c r="J214" s="97"/>
      <c r="K214" s="98"/>
      <c r="L214" s="46"/>
      <c r="M214" s="28"/>
      <c r="N214" s="46"/>
      <c r="O214" s="28"/>
      <c r="P214" s="46"/>
      <c r="Q214" s="104"/>
      <c r="R214" s="28"/>
      <c r="S214" s="104"/>
      <c r="T214" s="28"/>
      <c r="U214" s="28"/>
      <c r="V214" s="28"/>
      <c r="W214" s="28"/>
      <c r="X214" s="28"/>
      <c r="Y214" s="28"/>
      <c r="Z214" s="28"/>
      <c r="AA214" s="28"/>
      <c r="AB214" s="28"/>
    </row>
    <row r="215" spans="1:32" ht="23.25" customHeight="1" x14ac:dyDescent="0.2">
      <c r="A215" s="337" t="s">
        <v>177</v>
      </c>
      <c r="B215" s="338"/>
      <c r="C215" s="338"/>
      <c r="D215" s="338"/>
      <c r="E215" s="338"/>
      <c r="F215" s="338"/>
      <c r="G215" s="338"/>
      <c r="H215" s="338"/>
      <c r="I215" s="338"/>
      <c r="J215" s="338"/>
      <c r="K215" s="338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  <c r="AB215" s="40"/>
      <c r="AC215" s="38"/>
      <c r="AD215" s="38"/>
      <c r="AE215" s="38"/>
      <c r="AF215" s="39"/>
    </row>
    <row r="216" spans="1:32" ht="15.75" x14ac:dyDescent="0.2">
      <c r="A216" s="339" t="s">
        <v>176</v>
      </c>
      <c r="B216" s="340"/>
      <c r="C216" s="341"/>
      <c r="D216" s="340"/>
      <c r="E216" s="340"/>
      <c r="F216" s="340"/>
      <c r="G216" s="340"/>
      <c r="H216" s="340"/>
      <c r="I216" s="340"/>
      <c r="J216" s="340"/>
      <c r="K216" s="340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F216" s="41"/>
    </row>
    <row r="217" spans="1:32" ht="12.75" customHeight="1" x14ac:dyDescent="0.2">
      <c r="A217" s="345" t="s">
        <v>16</v>
      </c>
      <c r="B217" s="273" t="s">
        <v>432</v>
      </c>
      <c r="C217" s="272" t="s">
        <v>437</v>
      </c>
      <c r="D217" s="342" t="s">
        <v>382</v>
      </c>
      <c r="E217" s="222">
        <v>2015</v>
      </c>
      <c r="F217" s="14"/>
      <c r="G217" s="14"/>
      <c r="H217" s="14"/>
      <c r="I217" s="14"/>
      <c r="J217" s="14"/>
      <c r="K217" s="248" t="s">
        <v>433</v>
      </c>
    </row>
    <row r="218" spans="1:32" x14ac:dyDescent="0.2">
      <c r="A218" s="345"/>
      <c r="B218" s="274"/>
      <c r="C218" s="284"/>
      <c r="D218" s="343"/>
      <c r="E218" s="222">
        <v>2016</v>
      </c>
      <c r="F218" s="14"/>
      <c r="G218" s="14"/>
      <c r="H218" s="14"/>
      <c r="I218" s="14"/>
      <c r="J218" s="14"/>
      <c r="K218" s="249"/>
    </row>
    <row r="219" spans="1:32" x14ac:dyDescent="0.2">
      <c r="A219" s="345"/>
      <c r="B219" s="274"/>
      <c r="C219" s="284"/>
      <c r="D219" s="343"/>
      <c r="E219" s="222">
        <v>2017</v>
      </c>
      <c r="F219" s="14"/>
      <c r="G219" s="14"/>
      <c r="H219" s="14"/>
      <c r="I219" s="14"/>
      <c r="J219" s="14"/>
      <c r="K219" s="249"/>
      <c r="L219" s="99"/>
    </row>
    <row r="220" spans="1:32" x14ac:dyDescent="0.2">
      <c r="A220" s="345"/>
      <c r="B220" s="274"/>
      <c r="C220" s="284"/>
      <c r="D220" s="343"/>
      <c r="E220" s="222">
        <v>2018</v>
      </c>
      <c r="F220" s="14"/>
      <c r="G220" s="14"/>
      <c r="H220" s="14"/>
      <c r="I220" s="14"/>
      <c r="J220" s="14"/>
      <c r="K220" s="249"/>
    </row>
    <row r="221" spans="1:32" ht="15" x14ac:dyDescent="0.25">
      <c r="A221" s="345"/>
      <c r="B221" s="274"/>
      <c r="C221" s="284"/>
      <c r="D221" s="343"/>
      <c r="E221" s="222">
        <v>2019</v>
      </c>
      <c r="F221" s="7">
        <f>SUM(G221:J221)</f>
        <v>3063.3999999999996</v>
      </c>
      <c r="G221" s="14"/>
      <c r="H221" s="14">
        <f>85230-85230</f>
        <v>0</v>
      </c>
      <c r="I221" s="7">
        <f>20500-12915.6-215.1-4305.9</f>
        <v>3063.3999999999996</v>
      </c>
      <c r="J221" s="14"/>
      <c r="K221" s="249"/>
    </row>
    <row r="222" spans="1:32" x14ac:dyDescent="0.2">
      <c r="A222" s="345"/>
      <c r="B222" s="274"/>
      <c r="C222" s="284"/>
      <c r="D222" s="343"/>
      <c r="E222" s="222">
        <v>2020</v>
      </c>
      <c r="F222" s="14">
        <f>SUM(G222:J222)</f>
        <v>0</v>
      </c>
      <c r="G222" s="14"/>
      <c r="H222" s="14">
        <v>0</v>
      </c>
      <c r="I222" s="14">
        <v>0</v>
      </c>
      <c r="J222" s="14"/>
      <c r="K222" s="249"/>
    </row>
    <row r="223" spans="1:32" x14ac:dyDescent="0.2">
      <c r="A223" s="345"/>
      <c r="B223" s="275"/>
      <c r="C223" s="284"/>
      <c r="D223" s="343"/>
      <c r="E223" s="222">
        <v>2021</v>
      </c>
      <c r="F223" s="14">
        <f>SUM(G223:J223)</f>
        <v>0</v>
      </c>
      <c r="G223" s="14"/>
      <c r="H223" s="14">
        <f>85230-85230</f>
        <v>0</v>
      </c>
      <c r="I223" s="14">
        <f>24381.7-24381.7</f>
        <v>0</v>
      </c>
      <c r="J223" s="14"/>
      <c r="K223" s="249"/>
    </row>
    <row r="224" spans="1:32" x14ac:dyDescent="0.2">
      <c r="A224" s="345"/>
      <c r="B224" s="275"/>
      <c r="C224" s="284"/>
      <c r="D224" s="343"/>
      <c r="E224" s="222">
        <v>2022</v>
      </c>
      <c r="F224" s="14">
        <f>SUM(G224:J224)</f>
        <v>0</v>
      </c>
      <c r="G224" s="14"/>
      <c r="H224" s="14">
        <v>0</v>
      </c>
      <c r="I224" s="14">
        <v>0</v>
      </c>
      <c r="J224" s="14"/>
      <c r="K224" s="249"/>
    </row>
    <row r="225" spans="1:13" x14ac:dyDescent="0.2">
      <c r="A225" s="345"/>
      <c r="B225" s="275"/>
      <c r="C225" s="284"/>
      <c r="D225" s="343"/>
      <c r="E225" s="223">
        <v>2023</v>
      </c>
      <c r="F225" s="14">
        <f t="shared" ref="F225:F227" si="33">SUM(G225:J225)</f>
        <v>0</v>
      </c>
      <c r="G225" s="14"/>
      <c r="H225" s="14">
        <f>18962.9-18962.9</f>
        <v>0</v>
      </c>
      <c r="I225" s="14">
        <f>193.5-193.5</f>
        <v>0</v>
      </c>
      <c r="J225" s="14"/>
      <c r="K225" s="249"/>
    </row>
    <row r="226" spans="1:13" x14ac:dyDescent="0.2">
      <c r="A226" s="345"/>
      <c r="B226" s="275"/>
      <c r="C226" s="284"/>
      <c r="D226" s="343"/>
      <c r="E226" s="223">
        <v>2024</v>
      </c>
      <c r="F226" s="14">
        <f t="shared" si="33"/>
        <v>500000.1</v>
      </c>
      <c r="G226" s="14"/>
      <c r="H226" s="14">
        <v>494949.6</v>
      </c>
      <c r="I226" s="14">
        <v>5050.5</v>
      </c>
      <c r="J226" s="14"/>
      <c r="K226" s="249"/>
    </row>
    <row r="227" spans="1:13" x14ac:dyDescent="0.2">
      <c r="A227" s="345"/>
      <c r="B227" s="275"/>
      <c r="C227" s="284"/>
      <c r="D227" s="343"/>
      <c r="E227" s="223">
        <v>2025</v>
      </c>
      <c r="F227" s="14">
        <f t="shared" si="33"/>
        <v>718526.5</v>
      </c>
      <c r="G227" s="14"/>
      <c r="H227" s="14">
        <v>711268.7</v>
      </c>
      <c r="I227" s="14">
        <v>7257.8</v>
      </c>
      <c r="J227" s="14"/>
      <c r="K227" s="249"/>
    </row>
    <row r="228" spans="1:13" x14ac:dyDescent="0.2">
      <c r="A228" s="345"/>
      <c r="B228" s="275"/>
      <c r="C228" s="284"/>
      <c r="D228" s="344"/>
      <c r="E228" s="18" t="s">
        <v>18</v>
      </c>
      <c r="F228" s="13">
        <f>SUM(F217:F227)</f>
        <v>1221590</v>
      </c>
      <c r="G228" s="13">
        <f>SUM(G217:G222)</f>
        <v>0</v>
      </c>
      <c r="H228" s="13">
        <f>SUM(H217:H227)</f>
        <v>1206218.2999999998</v>
      </c>
      <c r="I228" s="13">
        <f>SUM(I217:I227)</f>
        <v>15371.7</v>
      </c>
      <c r="J228" s="14"/>
      <c r="K228" s="250"/>
    </row>
    <row r="229" spans="1:13" ht="12.75" customHeight="1" x14ac:dyDescent="0.25">
      <c r="A229" s="345" t="s">
        <v>19</v>
      </c>
      <c r="B229" s="273" t="s">
        <v>57</v>
      </c>
      <c r="C229" s="272" t="s">
        <v>58</v>
      </c>
      <c r="D229" s="342" t="s">
        <v>385</v>
      </c>
      <c r="E229" s="222">
        <v>2015</v>
      </c>
      <c r="F229" s="7">
        <f>SUM(G229:I229)</f>
        <v>11594</v>
      </c>
      <c r="G229" s="7"/>
      <c r="H229" s="7">
        <f>9200+2278</f>
        <v>11478</v>
      </c>
      <c r="I229" s="7">
        <f>92.9+23.1</f>
        <v>116</v>
      </c>
      <c r="J229" s="14"/>
      <c r="K229" s="248" t="s">
        <v>135</v>
      </c>
    </row>
    <row r="230" spans="1:13" ht="15" x14ac:dyDescent="0.25">
      <c r="A230" s="345"/>
      <c r="B230" s="274"/>
      <c r="C230" s="284"/>
      <c r="D230" s="343"/>
      <c r="E230" s="222">
        <v>2016</v>
      </c>
      <c r="F230" s="7">
        <f>SUM(G230:I230)</f>
        <v>19796.5</v>
      </c>
      <c r="G230" s="7"/>
      <c r="H230" s="7">
        <v>19593.599999999999</v>
      </c>
      <c r="I230" s="7">
        <f>198+4.9</f>
        <v>202.9</v>
      </c>
      <c r="J230" s="14"/>
      <c r="K230" s="249"/>
    </row>
    <row r="231" spans="1:13" ht="78" customHeight="1" x14ac:dyDescent="0.2">
      <c r="A231" s="345"/>
      <c r="B231" s="274"/>
      <c r="C231" s="284"/>
      <c r="D231" s="344"/>
      <c r="E231" s="18" t="s">
        <v>18</v>
      </c>
      <c r="F231" s="8">
        <f>SUM(F229:F230)</f>
        <v>31390.5</v>
      </c>
      <c r="G231" s="8"/>
      <c r="H231" s="8">
        <f>SUM(H229:H230)</f>
        <v>31071.599999999999</v>
      </c>
      <c r="I231" s="8">
        <f>SUM(I229:I230)</f>
        <v>318.89999999999998</v>
      </c>
      <c r="J231" s="14"/>
      <c r="K231" s="250"/>
    </row>
    <row r="232" spans="1:13" x14ac:dyDescent="0.2">
      <c r="A232" s="345" t="s">
        <v>59</v>
      </c>
      <c r="B232" s="273" t="s">
        <v>257</v>
      </c>
      <c r="C232" s="272" t="s">
        <v>136</v>
      </c>
      <c r="D232" s="342" t="s">
        <v>382</v>
      </c>
      <c r="E232" s="222">
        <v>2015</v>
      </c>
      <c r="F232" s="14">
        <f>SUM(G232:I232)</f>
        <v>0</v>
      </c>
      <c r="G232" s="14"/>
      <c r="H232" s="14">
        <f>19500-19500</f>
        <v>0</v>
      </c>
      <c r="I232" s="14">
        <f>197-197</f>
        <v>0</v>
      </c>
      <c r="J232" s="14"/>
      <c r="K232" s="248" t="s">
        <v>170</v>
      </c>
    </row>
    <row r="233" spans="1:13" x14ac:dyDescent="0.2">
      <c r="A233" s="345"/>
      <c r="B233" s="274"/>
      <c r="C233" s="284"/>
      <c r="D233" s="343"/>
      <c r="E233" s="222">
        <v>2016</v>
      </c>
      <c r="F233" s="14">
        <f>SUM(G233:I233)</f>
        <v>0</v>
      </c>
      <c r="G233" s="14"/>
      <c r="H233" s="14">
        <v>0</v>
      </c>
      <c r="I233" s="14">
        <v>0</v>
      </c>
      <c r="J233" s="14"/>
      <c r="K233" s="249"/>
    </row>
    <row r="234" spans="1:13" ht="15" x14ac:dyDescent="0.25">
      <c r="A234" s="345"/>
      <c r="B234" s="274"/>
      <c r="C234" s="284"/>
      <c r="D234" s="343"/>
      <c r="E234" s="222">
        <v>2017</v>
      </c>
      <c r="F234" s="7">
        <f>SUM(G234:I234)</f>
        <v>23206.5</v>
      </c>
      <c r="G234" s="7"/>
      <c r="H234" s="7">
        <v>0</v>
      </c>
      <c r="I234" s="7">
        <f>30000-6793.5</f>
        <v>23206.5</v>
      </c>
      <c r="J234" s="14"/>
      <c r="K234" s="249"/>
      <c r="L234" s="99"/>
    </row>
    <row r="235" spans="1:13" ht="15" x14ac:dyDescent="0.25">
      <c r="A235" s="345"/>
      <c r="B235" s="274"/>
      <c r="C235" s="284"/>
      <c r="D235" s="343"/>
      <c r="E235" s="222">
        <v>2018</v>
      </c>
      <c r="F235" s="7">
        <f>SUM(G235:I235)</f>
        <v>32367.100000000002</v>
      </c>
      <c r="G235" s="7"/>
      <c r="H235" s="7">
        <f>20413.7+8747.2</f>
        <v>29160.9</v>
      </c>
      <c r="I235" s="7">
        <v>3206.2</v>
      </c>
      <c r="J235" s="14"/>
      <c r="K235" s="249"/>
      <c r="L235" s="99" t="s">
        <v>349</v>
      </c>
      <c r="M235" s="99" t="s">
        <v>351</v>
      </c>
    </row>
    <row r="236" spans="1:13" ht="27.75" customHeight="1" x14ac:dyDescent="0.2">
      <c r="A236" s="345"/>
      <c r="B236" s="274"/>
      <c r="C236" s="284"/>
      <c r="D236" s="344"/>
      <c r="E236" s="18" t="s">
        <v>18</v>
      </c>
      <c r="F236" s="8">
        <f>SUM(F232:F235)</f>
        <v>55573.600000000006</v>
      </c>
      <c r="G236" s="8"/>
      <c r="H236" s="8">
        <f>SUM(H232:H235)</f>
        <v>29160.9</v>
      </c>
      <c r="I236" s="8">
        <f>SUM(I232:I235)</f>
        <v>26412.7</v>
      </c>
      <c r="J236" s="14"/>
      <c r="K236" s="250"/>
    </row>
    <row r="237" spans="1:13" x14ac:dyDescent="0.2">
      <c r="A237" s="345" t="s">
        <v>457</v>
      </c>
      <c r="B237" s="273" t="s">
        <v>458</v>
      </c>
      <c r="C237" s="272" t="s">
        <v>471</v>
      </c>
      <c r="D237" s="342" t="s">
        <v>382</v>
      </c>
      <c r="E237" s="247">
        <v>2021</v>
      </c>
      <c r="F237" s="14">
        <f>SUM(G237:I237)</f>
        <v>1390.1</v>
      </c>
      <c r="G237" s="14"/>
      <c r="H237" s="14">
        <f>19500-19500</f>
        <v>0</v>
      </c>
      <c r="I237" s="14">
        <v>1390.1</v>
      </c>
      <c r="J237" s="14"/>
      <c r="K237" s="248" t="s">
        <v>472</v>
      </c>
    </row>
    <row r="238" spans="1:13" x14ac:dyDescent="0.2">
      <c r="A238" s="345"/>
      <c r="B238" s="274"/>
      <c r="C238" s="284"/>
      <c r="D238" s="343"/>
      <c r="E238" s="247">
        <v>2022</v>
      </c>
      <c r="F238" s="14">
        <f>SUM(G238:I238)</f>
        <v>0</v>
      </c>
      <c r="G238" s="14"/>
      <c r="H238" s="14">
        <v>0</v>
      </c>
      <c r="I238" s="14">
        <v>0</v>
      </c>
      <c r="J238" s="14"/>
      <c r="K238" s="249"/>
    </row>
    <row r="239" spans="1:13" ht="15" x14ac:dyDescent="0.25">
      <c r="A239" s="345"/>
      <c r="B239" s="274"/>
      <c r="C239" s="284"/>
      <c r="D239" s="343"/>
      <c r="E239" s="247">
        <v>2023</v>
      </c>
      <c r="F239" s="7">
        <f>SUM(G239:I239)</f>
        <v>0</v>
      </c>
      <c r="G239" s="7"/>
      <c r="H239" s="7">
        <v>0</v>
      </c>
      <c r="I239" s="7">
        <v>0</v>
      </c>
      <c r="J239" s="14"/>
      <c r="K239" s="249"/>
      <c r="L239" s="99"/>
    </row>
    <row r="240" spans="1:13" ht="15" x14ac:dyDescent="0.25">
      <c r="A240" s="345"/>
      <c r="B240" s="274"/>
      <c r="C240" s="284"/>
      <c r="D240" s="343"/>
      <c r="E240" s="247">
        <v>2024</v>
      </c>
      <c r="F240" s="7">
        <f>SUM(G240:I240)</f>
        <v>0</v>
      </c>
      <c r="G240" s="7"/>
      <c r="H240" s="7">
        <v>0</v>
      </c>
      <c r="I240" s="7">
        <v>0</v>
      </c>
      <c r="J240" s="14"/>
      <c r="K240" s="249"/>
      <c r="L240" s="99" t="s">
        <v>349</v>
      </c>
      <c r="M240" s="99" t="s">
        <v>351</v>
      </c>
    </row>
    <row r="241" spans="1:33" ht="15" x14ac:dyDescent="0.25">
      <c r="A241" s="345"/>
      <c r="B241" s="274"/>
      <c r="C241" s="284"/>
      <c r="D241" s="343"/>
      <c r="E241" s="247">
        <v>2025</v>
      </c>
      <c r="F241" s="7">
        <f>SUM(G241:I241)</f>
        <v>0</v>
      </c>
      <c r="G241" s="7"/>
      <c r="H241" s="7">
        <v>0</v>
      </c>
      <c r="I241" s="7">
        <v>0</v>
      </c>
      <c r="J241" s="14"/>
      <c r="K241" s="249"/>
      <c r="L241" s="99" t="s">
        <v>349</v>
      </c>
      <c r="M241" s="99" t="s">
        <v>351</v>
      </c>
    </row>
    <row r="242" spans="1:33" ht="27.75" customHeight="1" x14ac:dyDescent="0.2">
      <c r="A242" s="345"/>
      <c r="B242" s="274"/>
      <c r="C242" s="284"/>
      <c r="D242" s="344"/>
      <c r="E242" s="18" t="s">
        <v>18</v>
      </c>
      <c r="F242" s="8">
        <f>SUM(F237:F240)</f>
        <v>1390.1</v>
      </c>
      <c r="G242" s="8"/>
      <c r="H242" s="8">
        <f>SUM(H237:H240)</f>
        <v>0</v>
      </c>
      <c r="I242" s="8">
        <f>SUM(I237:I240)</f>
        <v>1390.1</v>
      </c>
      <c r="J242" s="14"/>
      <c r="K242" s="250"/>
    </row>
    <row r="243" spans="1:33" ht="15" x14ac:dyDescent="0.2">
      <c r="A243" s="42" t="s">
        <v>118</v>
      </c>
      <c r="B243" s="215"/>
      <c r="C243" s="35"/>
      <c r="D243" s="43"/>
      <c r="E243" s="18"/>
      <c r="F243" s="3"/>
      <c r="G243" s="3"/>
      <c r="H243" s="3"/>
      <c r="I243" s="3"/>
      <c r="J243" s="2"/>
      <c r="K243" s="222"/>
    </row>
    <row r="244" spans="1:33" ht="15" x14ac:dyDescent="0.25">
      <c r="A244" s="345" t="s">
        <v>60</v>
      </c>
      <c r="B244" s="280" t="s">
        <v>423</v>
      </c>
      <c r="C244" s="276" t="s">
        <v>438</v>
      </c>
      <c r="D244" s="248" t="s">
        <v>450</v>
      </c>
      <c r="E244" s="222">
        <v>2015</v>
      </c>
      <c r="F244" s="7">
        <f t="shared" ref="F244:F249" si="34">SUM(G244:I244)</f>
        <v>11247</v>
      </c>
      <c r="G244" s="7"/>
      <c r="H244" s="7">
        <v>11106</v>
      </c>
      <c r="I244" s="7">
        <f>176.6-5-30.6</f>
        <v>141</v>
      </c>
      <c r="J244" s="14"/>
      <c r="K244" s="248" t="s">
        <v>137</v>
      </c>
    </row>
    <row r="245" spans="1:33" ht="15" x14ac:dyDescent="0.25">
      <c r="A245" s="345"/>
      <c r="B245" s="355"/>
      <c r="C245" s="290"/>
      <c r="D245" s="249"/>
      <c r="E245" s="222">
        <v>2016</v>
      </c>
      <c r="F245" s="7">
        <f t="shared" si="34"/>
        <v>18177.099999999995</v>
      </c>
      <c r="G245" s="7"/>
      <c r="H245" s="7">
        <v>0</v>
      </c>
      <c r="I245" s="7">
        <f>329.1+8010.2+741.4+6855.2- 5378.5-329.1+7910+38.8</f>
        <v>18177.099999999995</v>
      </c>
      <c r="J245" s="14"/>
      <c r="K245" s="249"/>
    </row>
    <row r="246" spans="1:33" ht="15" x14ac:dyDescent="0.25">
      <c r="A246" s="345"/>
      <c r="B246" s="355"/>
      <c r="C246" s="290"/>
      <c r="D246" s="249"/>
      <c r="E246" s="222">
        <v>2017</v>
      </c>
      <c r="F246" s="7">
        <f t="shared" si="34"/>
        <v>11055.7</v>
      </c>
      <c r="G246" s="7"/>
      <c r="H246" s="7">
        <v>0</v>
      </c>
      <c r="I246" s="7">
        <f>10704.2+351.5</f>
        <v>11055.7</v>
      </c>
      <c r="J246" s="14"/>
      <c r="K246" s="249"/>
      <c r="L246" s="99"/>
      <c r="O246" s="99" t="s">
        <v>323</v>
      </c>
      <c r="P246" s="99"/>
    </row>
    <row r="247" spans="1:33" x14ac:dyDescent="0.2">
      <c r="A247" s="345"/>
      <c r="B247" s="355"/>
      <c r="C247" s="290"/>
      <c r="D247" s="249"/>
      <c r="E247" s="222">
        <v>2018</v>
      </c>
      <c r="F247" s="14">
        <f t="shared" si="34"/>
        <v>0</v>
      </c>
      <c r="G247" s="14"/>
      <c r="H247" s="14">
        <f>5675-5675</f>
        <v>0</v>
      </c>
      <c r="I247" s="14">
        <f>299-299</f>
        <v>0</v>
      </c>
      <c r="J247" s="14"/>
      <c r="K247" s="249"/>
    </row>
    <row r="248" spans="1:33" x14ac:dyDescent="0.2">
      <c r="A248" s="345"/>
      <c r="B248" s="355"/>
      <c r="C248" s="290"/>
      <c r="D248" s="249"/>
      <c r="E248" s="222">
        <v>2019</v>
      </c>
      <c r="F248" s="14">
        <f t="shared" si="34"/>
        <v>26077.599999999999</v>
      </c>
      <c r="G248" s="14"/>
      <c r="H248" s="14">
        <f>31206.5+5422.6-11613.5</f>
        <v>25015.599999999999</v>
      </c>
      <c r="I248" s="14">
        <f>1585.2+224.8+140.8-888.8</f>
        <v>1062</v>
      </c>
      <c r="J248" s="14"/>
      <c r="K248" s="249"/>
      <c r="L248" s="99"/>
    </row>
    <row r="249" spans="1:33" x14ac:dyDescent="0.2">
      <c r="A249" s="345"/>
      <c r="B249" s="355"/>
      <c r="C249" s="290"/>
      <c r="D249" s="249"/>
      <c r="E249" s="222">
        <v>2020</v>
      </c>
      <c r="F249" s="14">
        <f t="shared" si="34"/>
        <v>35948.199999999997</v>
      </c>
      <c r="G249" s="14"/>
      <c r="H249" s="14">
        <f>30035.7-9010.7+13522.7-689.7-1868.7</f>
        <v>31989.3</v>
      </c>
      <c r="I249" s="14">
        <f>303.4+3870.2-3824.6-7+3616.9</f>
        <v>3958.8999999999996</v>
      </c>
      <c r="J249" s="14"/>
      <c r="K249" s="249"/>
    </row>
    <row r="250" spans="1:33" x14ac:dyDescent="0.2">
      <c r="A250" s="488"/>
      <c r="B250" s="355"/>
      <c r="C250" s="290"/>
      <c r="D250" s="249"/>
      <c r="E250" s="222">
        <v>2021</v>
      </c>
      <c r="F250" s="14">
        <f t="shared" ref="F250" si="35">SUM(G250:I250)</f>
        <v>0</v>
      </c>
      <c r="G250" s="14"/>
      <c r="H250" s="14">
        <f>27020-8106.1-16993.9-1920</f>
        <v>0</v>
      </c>
      <c r="I250" s="14">
        <f>272.9-253.5-19.4</f>
        <v>0</v>
      </c>
      <c r="J250" s="14"/>
      <c r="K250" s="249"/>
    </row>
    <row r="251" spans="1:33" x14ac:dyDescent="0.2">
      <c r="A251" s="488"/>
      <c r="B251" s="355"/>
      <c r="C251" s="290"/>
      <c r="D251" s="249"/>
      <c r="E251" s="222">
        <v>2022</v>
      </c>
      <c r="F251" s="14">
        <f t="shared" ref="F251" si="36">SUM(G251:I251)</f>
        <v>0</v>
      </c>
      <c r="G251" s="14"/>
      <c r="H251" s="14">
        <f>13193-13193</f>
        <v>0</v>
      </c>
      <c r="I251" s="14">
        <f>133.3-133.3</f>
        <v>0</v>
      </c>
      <c r="J251" s="14"/>
      <c r="K251" s="249"/>
    </row>
    <row r="252" spans="1:33" x14ac:dyDescent="0.2">
      <c r="A252" s="488"/>
      <c r="B252" s="355"/>
      <c r="C252" s="290"/>
      <c r="D252" s="249"/>
      <c r="E252" s="228">
        <v>2023</v>
      </c>
      <c r="F252" s="14">
        <f t="shared" ref="F252" si="37">SUM(G252:I252)</f>
        <v>0</v>
      </c>
      <c r="G252" s="14"/>
      <c r="H252" s="14">
        <f>13193-13193</f>
        <v>0</v>
      </c>
      <c r="I252" s="14">
        <f>133.3-133.3</f>
        <v>0</v>
      </c>
      <c r="J252" s="14"/>
      <c r="K252" s="249"/>
    </row>
    <row r="253" spans="1:33" ht="19.5" customHeight="1" x14ac:dyDescent="0.2">
      <c r="A253" s="488"/>
      <c r="B253" s="355"/>
      <c r="C253" s="290"/>
      <c r="D253" s="249"/>
      <c r="E253" s="26" t="s">
        <v>18</v>
      </c>
      <c r="F253" s="9">
        <f>SUM(F244:F251)</f>
        <v>102505.59999999999</v>
      </c>
      <c r="G253" s="9"/>
      <c r="H253" s="9">
        <f>SUM(H244:H251)</f>
        <v>68110.899999999994</v>
      </c>
      <c r="I253" s="9">
        <f>SUM(I244:I251)</f>
        <v>34394.699999999997</v>
      </c>
      <c r="J253" s="22"/>
      <c r="K253" s="249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F253" s="28"/>
      <c r="AG253" s="28"/>
    </row>
    <row r="254" spans="1:33" ht="15" x14ac:dyDescent="0.25">
      <c r="A254" s="498" t="s">
        <v>226</v>
      </c>
      <c r="B254" s="273" t="s">
        <v>245</v>
      </c>
      <c r="C254" s="272" t="s">
        <v>391</v>
      </c>
      <c r="D254" s="260" t="s">
        <v>450</v>
      </c>
      <c r="E254" s="222">
        <v>2016</v>
      </c>
      <c r="F254" s="7">
        <f t="shared" ref="F254:F256" si="38">SUM(G254:I254)</f>
        <v>63958.799999999996</v>
      </c>
      <c r="G254" s="7"/>
      <c r="H254" s="7">
        <v>63319.199999999997</v>
      </c>
      <c r="I254" s="7">
        <v>639.6</v>
      </c>
      <c r="J254" s="14"/>
      <c r="K254" s="260" t="s">
        <v>137</v>
      </c>
    </row>
    <row r="255" spans="1:33" ht="15" x14ac:dyDescent="0.25">
      <c r="A255" s="498"/>
      <c r="B255" s="273"/>
      <c r="C255" s="272"/>
      <c r="D255" s="260"/>
      <c r="E255" s="222">
        <v>2017</v>
      </c>
      <c r="F255" s="7">
        <f t="shared" si="38"/>
        <v>29803.499999999996</v>
      </c>
      <c r="G255" s="7"/>
      <c r="H255" s="7">
        <f>37157.1-7676.9</f>
        <v>29480.199999999997</v>
      </c>
      <c r="I255" s="7">
        <f>400.8-77.5</f>
        <v>323.3</v>
      </c>
      <c r="J255" s="14"/>
      <c r="K255" s="260"/>
      <c r="L255" s="99" t="s">
        <v>353</v>
      </c>
      <c r="M255" s="99"/>
      <c r="O255" s="125" t="s">
        <v>354</v>
      </c>
      <c r="P255" s="109"/>
      <c r="Q255" s="112"/>
    </row>
    <row r="256" spans="1:33" ht="15" x14ac:dyDescent="0.25">
      <c r="A256" s="498"/>
      <c r="B256" s="273"/>
      <c r="C256" s="272"/>
      <c r="D256" s="260"/>
      <c r="E256" s="222">
        <v>2018</v>
      </c>
      <c r="F256" s="7">
        <f t="shared" si="38"/>
        <v>428.1</v>
      </c>
      <c r="G256" s="7"/>
      <c r="H256" s="7">
        <v>428.1</v>
      </c>
      <c r="I256" s="7"/>
      <c r="J256" s="14"/>
      <c r="K256" s="260"/>
      <c r="L256" s="99"/>
      <c r="M256" s="99"/>
      <c r="O256" s="104"/>
      <c r="P256" s="28"/>
      <c r="Q256" s="28"/>
    </row>
    <row r="257" spans="1:33" ht="109.5" customHeight="1" x14ac:dyDescent="0.2">
      <c r="A257" s="498"/>
      <c r="B257" s="273"/>
      <c r="C257" s="272"/>
      <c r="D257" s="260"/>
      <c r="E257" s="18" t="s">
        <v>18</v>
      </c>
      <c r="F257" s="8">
        <f>SUM(F254:F256)</f>
        <v>94190.399999999994</v>
      </c>
      <c r="G257" s="8"/>
      <c r="H257" s="8">
        <f t="shared" ref="H257:I257" si="39">SUM(H254:H256)</f>
        <v>93227.5</v>
      </c>
      <c r="I257" s="8">
        <f t="shared" si="39"/>
        <v>962.90000000000009</v>
      </c>
      <c r="J257" s="14"/>
      <c r="K257" s="260"/>
      <c r="L257" s="28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F257" s="28"/>
      <c r="AG257" s="28"/>
    </row>
    <row r="258" spans="1:33" ht="15" x14ac:dyDescent="0.25">
      <c r="A258" s="499" t="s">
        <v>228</v>
      </c>
      <c r="B258" s="355" t="s">
        <v>241</v>
      </c>
      <c r="C258" s="290" t="s">
        <v>227</v>
      </c>
      <c r="D258" s="249" t="s">
        <v>450</v>
      </c>
      <c r="E258" s="208">
        <v>2017</v>
      </c>
      <c r="F258" s="143">
        <f t="shared" ref="F258" si="40">SUM(G258:I258)</f>
        <v>18085.100000000002</v>
      </c>
      <c r="G258" s="143"/>
      <c r="H258" s="143">
        <f>22240.4-4343</f>
        <v>17897.400000000001</v>
      </c>
      <c r="I258" s="143">
        <f>224.7-37</f>
        <v>187.7</v>
      </c>
      <c r="J258" s="12"/>
      <c r="K258" s="249" t="s">
        <v>137</v>
      </c>
      <c r="L258" s="99" t="s">
        <v>355</v>
      </c>
      <c r="N258" s="99"/>
    </row>
    <row r="259" spans="1:33" ht="122.25" customHeight="1" x14ac:dyDescent="0.2">
      <c r="A259" s="279"/>
      <c r="B259" s="281"/>
      <c r="C259" s="282"/>
      <c r="D259" s="250"/>
      <c r="E259" s="26" t="s">
        <v>18</v>
      </c>
      <c r="F259" s="9">
        <f>SUM(F258:F258)</f>
        <v>18085.100000000002</v>
      </c>
      <c r="G259" s="9"/>
      <c r="H259" s="9">
        <f>SUM(H258:H258)</f>
        <v>17897.400000000001</v>
      </c>
      <c r="I259" s="9">
        <f>SUM(I258:I258)</f>
        <v>187.7</v>
      </c>
      <c r="J259" s="22"/>
      <c r="K259" s="250"/>
      <c r="L259" s="124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F259" s="28"/>
      <c r="AG259" s="28"/>
    </row>
    <row r="260" spans="1:33" ht="15" x14ac:dyDescent="0.25">
      <c r="A260" s="278" t="s">
        <v>258</v>
      </c>
      <c r="B260" s="280" t="s">
        <v>387</v>
      </c>
      <c r="C260" s="276" t="s">
        <v>136</v>
      </c>
      <c r="D260" s="248" t="s">
        <v>450</v>
      </c>
      <c r="E260" s="222">
        <v>2017</v>
      </c>
      <c r="F260" s="7">
        <f t="shared" ref="F260:F261" si="41">SUM(G260:I260)</f>
        <v>5818.9</v>
      </c>
      <c r="G260" s="7"/>
      <c r="H260" s="7">
        <v>5760.7</v>
      </c>
      <c r="I260" s="7">
        <v>58.2</v>
      </c>
      <c r="J260" s="14"/>
      <c r="K260" s="248" t="s">
        <v>137</v>
      </c>
      <c r="L260" s="104" t="s">
        <v>332</v>
      </c>
    </row>
    <row r="261" spans="1:33" ht="15" x14ac:dyDescent="0.25">
      <c r="A261" s="499"/>
      <c r="B261" s="355"/>
      <c r="C261" s="290"/>
      <c r="D261" s="249"/>
      <c r="E261" s="207">
        <v>2018</v>
      </c>
      <c r="F261" s="7">
        <f t="shared" si="41"/>
        <v>7447.2</v>
      </c>
      <c r="G261" s="10"/>
      <c r="H261" s="10">
        <v>6829</v>
      </c>
      <c r="I261" s="10">
        <f>492.7+125.5</f>
        <v>618.20000000000005</v>
      </c>
      <c r="J261" s="22"/>
      <c r="K261" s="249"/>
      <c r="L261" s="104"/>
    </row>
    <row r="262" spans="1:33" ht="139.5" customHeight="1" x14ac:dyDescent="0.2">
      <c r="A262" s="279"/>
      <c r="B262" s="281"/>
      <c r="C262" s="282"/>
      <c r="D262" s="250"/>
      <c r="E262" s="26" t="s">
        <v>18</v>
      </c>
      <c r="F262" s="9">
        <f>SUM(F260:F261)</f>
        <v>13266.099999999999</v>
      </c>
      <c r="G262" s="9"/>
      <c r="H262" s="9">
        <f t="shared" ref="H262:I262" si="42">SUM(H260:H261)</f>
        <v>12589.7</v>
      </c>
      <c r="I262" s="9">
        <f t="shared" si="42"/>
        <v>676.40000000000009</v>
      </c>
      <c r="J262" s="22"/>
      <c r="K262" s="250"/>
      <c r="L262" s="28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F262" s="28"/>
      <c r="AG262" s="28"/>
    </row>
    <row r="263" spans="1:33" ht="33" customHeight="1" x14ac:dyDescent="0.25">
      <c r="A263" s="278" t="s">
        <v>320</v>
      </c>
      <c r="B263" s="280" t="s">
        <v>356</v>
      </c>
      <c r="C263" s="276" t="s">
        <v>227</v>
      </c>
      <c r="D263" s="248" t="s">
        <v>450</v>
      </c>
      <c r="E263" s="222">
        <v>2017</v>
      </c>
      <c r="F263" s="7">
        <f t="shared" ref="F263" si="43">SUM(G263:I263)</f>
        <v>2615.6000000000004</v>
      </c>
      <c r="G263" s="7"/>
      <c r="H263" s="7">
        <v>2596.3000000000002</v>
      </c>
      <c r="I263" s="7">
        <v>19.3</v>
      </c>
      <c r="J263" s="14"/>
      <c r="K263" s="248" t="s">
        <v>137</v>
      </c>
      <c r="L263" s="104" t="s">
        <v>332</v>
      </c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F263" s="28"/>
      <c r="AG263" s="28"/>
    </row>
    <row r="264" spans="1:33" ht="88.5" customHeight="1" x14ac:dyDescent="0.2">
      <c r="A264" s="279"/>
      <c r="B264" s="281"/>
      <c r="C264" s="282"/>
      <c r="D264" s="250"/>
      <c r="E264" s="26" t="s">
        <v>18</v>
      </c>
      <c r="F264" s="9">
        <f>SUM(F263:F263)</f>
        <v>2615.6000000000004</v>
      </c>
      <c r="G264" s="9"/>
      <c r="H264" s="9">
        <f>SUM(H263:H263)</f>
        <v>2596.3000000000002</v>
      </c>
      <c r="I264" s="9">
        <f>SUM(I263:I263)</f>
        <v>19.3</v>
      </c>
      <c r="J264" s="22"/>
      <c r="K264" s="250"/>
      <c r="L264" s="104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F264" s="28"/>
      <c r="AG264" s="28"/>
    </row>
    <row r="265" spans="1:33" ht="33" customHeight="1" x14ac:dyDescent="0.25">
      <c r="A265" s="278" t="s">
        <v>386</v>
      </c>
      <c r="B265" s="280" t="s">
        <v>388</v>
      </c>
      <c r="C265" s="276">
        <v>2018</v>
      </c>
      <c r="D265" s="248" t="s">
        <v>450</v>
      </c>
      <c r="E265" s="222">
        <v>2018</v>
      </c>
      <c r="F265" s="7">
        <f t="shared" ref="F265" si="44">SUM(G265:I265)</f>
        <v>25000</v>
      </c>
      <c r="G265" s="7"/>
      <c r="H265" s="7">
        <v>24750</v>
      </c>
      <c r="I265" s="7">
        <v>250</v>
      </c>
      <c r="J265" s="14"/>
      <c r="K265" s="248" t="s">
        <v>137</v>
      </c>
      <c r="L265" s="104" t="s">
        <v>332</v>
      </c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F265" s="28"/>
      <c r="AG265" s="28"/>
    </row>
    <row r="266" spans="1:33" ht="133.5" customHeight="1" x14ac:dyDescent="0.2">
      <c r="A266" s="279"/>
      <c r="B266" s="281"/>
      <c r="C266" s="282"/>
      <c r="D266" s="250"/>
      <c r="E266" s="26" t="s">
        <v>18</v>
      </c>
      <c r="F266" s="9">
        <f>SUM(F265:F265)</f>
        <v>25000</v>
      </c>
      <c r="G266" s="9"/>
      <c r="H266" s="9">
        <f>SUM(H265:H265)</f>
        <v>24750</v>
      </c>
      <c r="I266" s="9">
        <f>SUM(I265:I265)</f>
        <v>250</v>
      </c>
      <c r="J266" s="22"/>
      <c r="K266" s="250"/>
      <c r="L266" s="104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F266" s="28"/>
      <c r="AG266" s="28"/>
    </row>
    <row r="267" spans="1:33" ht="19.5" customHeight="1" x14ac:dyDescent="0.2">
      <c r="A267" s="562" t="s">
        <v>459</v>
      </c>
      <c r="B267" s="259" t="s">
        <v>464</v>
      </c>
      <c r="C267" s="248">
        <v>2023</v>
      </c>
      <c r="D267" s="562" t="s">
        <v>450</v>
      </c>
      <c r="E267" s="228">
        <v>2021</v>
      </c>
      <c r="F267" s="9"/>
      <c r="G267" s="9"/>
      <c r="H267" s="9"/>
      <c r="I267" s="9"/>
      <c r="J267" s="22"/>
      <c r="K267" s="248" t="s">
        <v>137</v>
      </c>
      <c r="L267" s="231"/>
      <c r="M267" s="104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F267" s="28"/>
    </row>
    <row r="268" spans="1:33" ht="18.75" customHeight="1" x14ac:dyDescent="0.2">
      <c r="A268" s="563"/>
      <c r="B268" s="565"/>
      <c r="C268" s="261"/>
      <c r="D268" s="563"/>
      <c r="E268" s="228">
        <v>2022</v>
      </c>
      <c r="F268" s="9"/>
      <c r="G268" s="9"/>
      <c r="H268" s="9"/>
      <c r="I268" s="9"/>
      <c r="J268" s="22"/>
      <c r="K268" s="261"/>
      <c r="L268" s="231" t="s">
        <v>460</v>
      </c>
      <c r="M268" s="104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F268" s="28"/>
    </row>
    <row r="269" spans="1:33" ht="19.5" customHeight="1" x14ac:dyDescent="0.25">
      <c r="A269" s="563"/>
      <c r="B269" s="565"/>
      <c r="C269" s="261"/>
      <c r="D269" s="563"/>
      <c r="E269" s="228">
        <v>2023</v>
      </c>
      <c r="F269" s="7">
        <f>SUM(G269:I269)</f>
        <v>4190.7</v>
      </c>
      <c r="G269" s="10">
        <f>0+1007.3</f>
        <v>1007.3</v>
      </c>
      <c r="H269" s="10">
        <f>0+3183.4</f>
        <v>3183.4</v>
      </c>
      <c r="I269" s="10">
        <v>0</v>
      </c>
      <c r="J269" s="22"/>
      <c r="K269" s="261"/>
      <c r="L269" s="231"/>
      <c r="M269" s="232" t="s">
        <v>461</v>
      </c>
      <c r="N269" s="233"/>
      <c r="O269" s="28"/>
      <c r="P269" s="234" t="s">
        <v>462</v>
      </c>
      <c r="Q269" s="235"/>
      <c r="R269" s="236" t="s">
        <v>463</v>
      </c>
      <c r="S269" s="28"/>
      <c r="T269" s="28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F269" s="28"/>
    </row>
    <row r="270" spans="1:33" ht="17.25" customHeight="1" x14ac:dyDescent="0.2">
      <c r="A270" s="563"/>
      <c r="B270" s="565"/>
      <c r="C270" s="261"/>
      <c r="D270" s="563"/>
      <c r="E270" s="228">
        <v>2024</v>
      </c>
      <c r="F270" s="9"/>
      <c r="G270" s="9"/>
      <c r="H270" s="9"/>
      <c r="I270" s="9"/>
      <c r="J270" s="22"/>
      <c r="K270" s="261"/>
      <c r="L270" s="231"/>
      <c r="M270" s="104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F270" s="28"/>
    </row>
    <row r="271" spans="1:33" ht="20.25" customHeight="1" x14ac:dyDescent="0.2">
      <c r="A271" s="563"/>
      <c r="B271" s="565"/>
      <c r="C271" s="261"/>
      <c r="D271" s="563"/>
      <c r="E271" s="228">
        <v>2025</v>
      </c>
      <c r="F271" s="9"/>
      <c r="G271" s="9"/>
      <c r="H271" s="9"/>
      <c r="I271" s="9"/>
      <c r="J271" s="22"/>
      <c r="K271" s="261"/>
      <c r="L271" s="231"/>
      <c r="M271" s="104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F271" s="28"/>
    </row>
    <row r="272" spans="1:33" ht="33.75" customHeight="1" x14ac:dyDescent="0.2">
      <c r="A272" s="564"/>
      <c r="B272" s="532"/>
      <c r="C272" s="277"/>
      <c r="D272" s="564"/>
      <c r="E272" s="26" t="s">
        <v>18</v>
      </c>
      <c r="F272" s="9">
        <f>SUM(F267:F271)</f>
        <v>4190.7</v>
      </c>
      <c r="G272" s="9">
        <f t="shared" ref="G272:J272" si="45">SUM(G267:G271)</f>
        <v>1007.3</v>
      </c>
      <c r="H272" s="9">
        <f t="shared" si="45"/>
        <v>3183.4</v>
      </c>
      <c r="I272" s="9">
        <f t="shared" si="45"/>
        <v>0</v>
      </c>
      <c r="J272" s="9">
        <f t="shared" si="45"/>
        <v>0</v>
      </c>
      <c r="K272" s="277"/>
      <c r="L272" s="231"/>
      <c r="M272" s="104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F272" s="28"/>
    </row>
    <row r="273" spans="1:33" ht="14.25" customHeight="1" x14ac:dyDescent="0.2">
      <c r="A273" s="418" t="s">
        <v>205</v>
      </c>
      <c r="B273" s="377"/>
      <c r="C273" s="377"/>
      <c r="D273" s="377"/>
      <c r="E273" s="377"/>
      <c r="F273" s="377"/>
      <c r="G273" s="377"/>
      <c r="H273" s="377"/>
      <c r="I273" s="377"/>
      <c r="J273" s="377"/>
      <c r="K273" s="377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F273" s="36"/>
      <c r="AG273" s="28"/>
    </row>
    <row r="274" spans="1:33" ht="15" x14ac:dyDescent="0.25">
      <c r="A274" s="345" t="s">
        <v>115</v>
      </c>
      <c r="B274" s="258" t="s">
        <v>429</v>
      </c>
      <c r="C274" s="276" t="s">
        <v>394</v>
      </c>
      <c r="D274" s="248" t="s">
        <v>450</v>
      </c>
      <c r="E274" s="222">
        <v>2015</v>
      </c>
      <c r="F274" s="7">
        <f>SUM(G274:I274)</f>
        <v>3333.3</v>
      </c>
      <c r="G274" s="7"/>
      <c r="H274" s="7">
        <v>3300</v>
      </c>
      <c r="I274" s="7">
        <v>33.299999999999997</v>
      </c>
      <c r="J274" s="14"/>
      <c r="K274" s="248" t="s">
        <v>137</v>
      </c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F274" s="28"/>
      <c r="AG274" s="28"/>
    </row>
    <row r="275" spans="1:33" ht="15" x14ac:dyDescent="0.25">
      <c r="A275" s="345"/>
      <c r="B275" s="283"/>
      <c r="C275" s="290"/>
      <c r="D275" s="249"/>
      <c r="E275" s="222">
        <v>2016</v>
      </c>
      <c r="F275" s="7">
        <f>SUM(G275:I275)</f>
        <v>7820.0999999999995</v>
      </c>
      <c r="G275" s="7"/>
      <c r="H275" s="7">
        <f>0+7375.9</f>
        <v>7375.9</v>
      </c>
      <c r="I275" s="7">
        <f>369.7+74.5</f>
        <v>444.2</v>
      </c>
      <c r="J275" s="14"/>
      <c r="K275" s="249"/>
    </row>
    <row r="276" spans="1:33" ht="15" x14ac:dyDescent="0.25">
      <c r="A276" s="345"/>
      <c r="B276" s="283"/>
      <c r="C276" s="290"/>
      <c r="D276" s="249"/>
      <c r="E276" s="222">
        <v>2017</v>
      </c>
      <c r="F276" s="7">
        <f>SUM(G276:I276)</f>
        <v>3699.9</v>
      </c>
      <c r="G276" s="7"/>
      <c r="H276" s="7">
        <v>3662.9</v>
      </c>
      <c r="I276" s="7">
        <v>37</v>
      </c>
      <c r="J276" s="14"/>
      <c r="K276" s="249"/>
      <c r="L276" s="4" t="s">
        <v>357</v>
      </c>
    </row>
    <row r="277" spans="1:33" ht="15" x14ac:dyDescent="0.25">
      <c r="A277" s="345"/>
      <c r="B277" s="283"/>
      <c r="C277" s="290"/>
      <c r="D277" s="249"/>
      <c r="E277" s="222">
        <v>2018</v>
      </c>
      <c r="F277" s="7">
        <f t="shared" ref="F277:F280" si="46">SUM(G277:I277)</f>
        <v>0</v>
      </c>
      <c r="G277" s="14"/>
      <c r="H277" s="7">
        <v>0</v>
      </c>
      <c r="I277" s="7">
        <v>0</v>
      </c>
      <c r="J277" s="14"/>
      <c r="K277" s="249"/>
    </row>
    <row r="278" spans="1:33" ht="15" x14ac:dyDescent="0.25">
      <c r="A278" s="345"/>
      <c r="B278" s="283"/>
      <c r="C278" s="290"/>
      <c r="D278" s="249"/>
      <c r="E278" s="222">
        <v>2019</v>
      </c>
      <c r="F278" s="7">
        <f t="shared" si="46"/>
        <v>1300.7</v>
      </c>
      <c r="G278" s="14"/>
      <c r="H278" s="7">
        <v>1287.7</v>
      </c>
      <c r="I278" s="7">
        <v>13</v>
      </c>
      <c r="J278" s="14"/>
      <c r="K278" s="249"/>
    </row>
    <row r="279" spans="1:33" ht="15" x14ac:dyDescent="0.25">
      <c r="A279" s="345"/>
      <c r="B279" s="283"/>
      <c r="C279" s="290"/>
      <c r="D279" s="249"/>
      <c r="E279" s="222">
        <v>2020</v>
      </c>
      <c r="F279" s="7">
        <f t="shared" si="46"/>
        <v>5402.5000000000009</v>
      </c>
      <c r="G279" s="14"/>
      <c r="H279" s="7">
        <f>12558.7-9529.4+2319.2</f>
        <v>5348.5000000000009</v>
      </c>
      <c r="I279" s="7">
        <f>126.9-96.3+23.4</f>
        <v>54.000000000000007</v>
      </c>
      <c r="J279" s="14"/>
      <c r="K279" s="249"/>
    </row>
    <row r="280" spans="1:33" ht="15" x14ac:dyDescent="0.25">
      <c r="A280" s="345"/>
      <c r="B280" s="283"/>
      <c r="C280" s="290"/>
      <c r="D280" s="249"/>
      <c r="E280" s="222">
        <v>2021</v>
      </c>
      <c r="F280" s="7">
        <f t="shared" si="46"/>
        <v>0</v>
      </c>
      <c r="G280" s="14"/>
      <c r="H280" s="7">
        <v>0</v>
      </c>
      <c r="I280" s="7">
        <v>0</v>
      </c>
      <c r="J280" s="14"/>
      <c r="K280" s="249"/>
    </row>
    <row r="281" spans="1:33" ht="167.25" customHeight="1" x14ac:dyDescent="0.2">
      <c r="A281" s="345"/>
      <c r="B281" s="283"/>
      <c r="C281" s="282"/>
      <c r="D281" s="250"/>
      <c r="E281" s="18" t="s">
        <v>18</v>
      </c>
      <c r="F281" s="8">
        <f>SUM(F274:F280)</f>
        <v>21556.5</v>
      </c>
      <c r="G281" s="8"/>
      <c r="H281" s="8">
        <f>SUM(H274:H280)</f>
        <v>20975</v>
      </c>
      <c r="I281" s="8">
        <f>SUM(I274:I280)</f>
        <v>581.5</v>
      </c>
      <c r="J281" s="14"/>
      <c r="K281" s="250"/>
    </row>
    <row r="282" spans="1:33" ht="15" customHeight="1" x14ac:dyDescent="0.25">
      <c r="A282" s="271" t="s">
        <v>259</v>
      </c>
      <c r="B282" s="258" t="s">
        <v>230</v>
      </c>
      <c r="C282" s="272" t="s">
        <v>393</v>
      </c>
      <c r="D282" s="260" t="s">
        <v>449</v>
      </c>
      <c r="E282" s="222">
        <v>2016</v>
      </c>
      <c r="F282" s="7">
        <f t="shared" ref="F282:F287" si="47">G282+H282+I282</f>
        <v>10976.3</v>
      </c>
      <c r="G282" s="8"/>
      <c r="H282" s="8"/>
      <c r="I282" s="7">
        <f>5500+3899.9+1247.3+329.1</f>
        <v>10976.3</v>
      </c>
      <c r="J282" s="14"/>
      <c r="K282" s="260" t="s">
        <v>133</v>
      </c>
    </row>
    <row r="283" spans="1:33" ht="13.5" customHeight="1" x14ac:dyDescent="0.25">
      <c r="A283" s="271"/>
      <c r="B283" s="258"/>
      <c r="C283" s="272"/>
      <c r="D283" s="260"/>
      <c r="E283" s="222">
        <v>2017</v>
      </c>
      <c r="F283" s="7">
        <f t="shared" si="47"/>
        <v>6064</v>
      </c>
      <c r="G283" s="8"/>
      <c r="H283" s="8"/>
      <c r="I283" s="7">
        <f>6314-250</f>
        <v>6064</v>
      </c>
      <c r="J283" s="14"/>
      <c r="K283" s="260"/>
      <c r="L283" s="211"/>
      <c r="M283" s="358"/>
      <c r="N283" s="358"/>
      <c r="O283" s="358"/>
      <c r="P283" s="99" t="s">
        <v>231</v>
      </c>
    </row>
    <row r="284" spans="1:33" ht="18.75" customHeight="1" x14ac:dyDescent="0.25">
      <c r="A284" s="271"/>
      <c r="B284" s="258"/>
      <c r="C284" s="272"/>
      <c r="D284" s="260"/>
      <c r="E284" s="222">
        <v>2018</v>
      </c>
      <c r="F284" s="7">
        <f t="shared" si="47"/>
        <v>1350</v>
      </c>
      <c r="G284" s="8"/>
      <c r="H284" s="8"/>
      <c r="I284" s="7">
        <v>1350</v>
      </c>
      <c r="J284" s="14"/>
      <c r="K284" s="260"/>
      <c r="L284" s="99"/>
      <c r="M284" s="99" t="s">
        <v>233</v>
      </c>
    </row>
    <row r="285" spans="1:33" ht="16.5" customHeight="1" x14ac:dyDescent="0.25">
      <c r="A285" s="271"/>
      <c r="B285" s="258"/>
      <c r="C285" s="272"/>
      <c r="D285" s="260"/>
      <c r="E285" s="222">
        <v>2019</v>
      </c>
      <c r="F285" s="7">
        <f t="shared" si="47"/>
        <v>859.1</v>
      </c>
      <c r="G285" s="8"/>
      <c r="H285" s="8"/>
      <c r="I285" s="7">
        <f>1280-232.3-188.6</f>
        <v>859.1</v>
      </c>
      <c r="J285" s="14"/>
      <c r="K285" s="260"/>
      <c r="L285" s="99"/>
      <c r="M285" s="99" t="s">
        <v>234</v>
      </c>
    </row>
    <row r="286" spans="1:33" ht="15.75" customHeight="1" x14ac:dyDescent="0.25">
      <c r="A286" s="271"/>
      <c r="B286" s="258"/>
      <c r="C286" s="272"/>
      <c r="D286" s="260"/>
      <c r="E286" s="222">
        <v>2020</v>
      </c>
      <c r="F286" s="7">
        <f t="shared" si="47"/>
        <v>1354.6</v>
      </c>
      <c r="G286" s="7"/>
      <c r="H286" s="7"/>
      <c r="I286" s="7">
        <f>1268.8+85.8</f>
        <v>1354.6</v>
      </c>
      <c r="J286" s="14"/>
      <c r="K286" s="260"/>
    </row>
    <row r="287" spans="1:33" ht="15.75" customHeight="1" x14ac:dyDescent="0.25">
      <c r="A287" s="271"/>
      <c r="B287" s="258"/>
      <c r="C287" s="272"/>
      <c r="D287" s="260"/>
      <c r="E287" s="222">
        <v>2021</v>
      </c>
      <c r="F287" s="7">
        <f t="shared" si="47"/>
        <v>1718</v>
      </c>
      <c r="G287" s="7"/>
      <c r="H287" s="7"/>
      <c r="I287" s="7">
        <v>1718</v>
      </c>
      <c r="J287" s="14"/>
      <c r="K287" s="260"/>
    </row>
    <row r="288" spans="1:33" ht="16.5" customHeight="1" x14ac:dyDescent="0.2">
      <c r="A288" s="271"/>
      <c r="B288" s="258"/>
      <c r="C288" s="272"/>
      <c r="D288" s="260"/>
      <c r="E288" s="18" t="s">
        <v>18</v>
      </c>
      <c r="F288" s="8">
        <f>SUM(F282:F287)</f>
        <v>22321.999999999996</v>
      </c>
      <c r="G288" s="8"/>
      <c r="H288" s="8">
        <v>0</v>
      </c>
      <c r="I288" s="8">
        <f>SUM(I282:I287)</f>
        <v>22321.999999999996</v>
      </c>
      <c r="J288" s="14"/>
      <c r="K288" s="260"/>
    </row>
    <row r="289" spans="1:32" ht="15" customHeight="1" x14ac:dyDescent="0.2">
      <c r="A289" s="418" t="s">
        <v>383</v>
      </c>
      <c r="B289" s="500"/>
      <c r="C289" s="500"/>
      <c r="D289" s="500"/>
      <c r="E289" s="500"/>
      <c r="F289" s="500"/>
      <c r="G289" s="500"/>
      <c r="H289" s="500"/>
      <c r="I289" s="500"/>
      <c r="J289" s="500"/>
      <c r="K289" s="500"/>
      <c r="L289" s="45"/>
      <c r="M289" s="45"/>
      <c r="N289" s="45"/>
      <c r="O289" s="45"/>
      <c r="P289" s="45"/>
      <c r="Q289" s="45"/>
      <c r="R289" s="45"/>
      <c r="S289" s="45"/>
      <c r="T289" s="45"/>
      <c r="U289" s="45"/>
      <c r="V289" s="45"/>
      <c r="W289" s="45"/>
      <c r="X289" s="45"/>
      <c r="Y289" s="45"/>
      <c r="Z289" s="45"/>
      <c r="AA289" s="45"/>
      <c r="AB289" s="45"/>
      <c r="AC289" s="45"/>
      <c r="AD289" s="45"/>
      <c r="AE289" s="45"/>
      <c r="AF289" s="45"/>
    </row>
    <row r="290" spans="1:32" ht="12.75" customHeight="1" x14ac:dyDescent="0.25">
      <c r="A290" s="271" t="s">
        <v>262</v>
      </c>
      <c r="B290" s="258" t="s">
        <v>294</v>
      </c>
      <c r="C290" s="272" t="s">
        <v>395</v>
      </c>
      <c r="D290" s="260" t="s">
        <v>449</v>
      </c>
      <c r="E290" s="222">
        <v>2015</v>
      </c>
      <c r="F290" s="7">
        <f t="shared" ref="F290:F295" si="48">SUM(G290:I290)</f>
        <v>28178.2</v>
      </c>
      <c r="G290" s="7"/>
      <c r="H290" s="7"/>
      <c r="I290" s="7">
        <f>27846.2+850-518</f>
        <v>28178.2</v>
      </c>
      <c r="J290" s="14"/>
      <c r="K290" s="248" t="s">
        <v>132</v>
      </c>
      <c r="L290" s="104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F290" s="28"/>
    </row>
    <row r="291" spans="1:32" ht="12.75" customHeight="1" x14ac:dyDescent="0.25">
      <c r="A291" s="271"/>
      <c r="B291" s="283"/>
      <c r="C291" s="272"/>
      <c r="D291" s="260"/>
      <c r="E291" s="222">
        <v>2016</v>
      </c>
      <c r="F291" s="7">
        <f t="shared" si="48"/>
        <v>27397.3</v>
      </c>
      <c r="G291" s="7"/>
      <c r="H291" s="7"/>
      <c r="I291" s="7">
        <f>29107-180-453.2-1076.5</f>
        <v>27397.3</v>
      </c>
      <c r="J291" s="14"/>
      <c r="K291" s="249"/>
      <c r="L291" s="46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F291" s="28"/>
    </row>
    <row r="292" spans="1:32" ht="12.75" customHeight="1" x14ac:dyDescent="0.25">
      <c r="A292" s="271"/>
      <c r="B292" s="283"/>
      <c r="C292" s="272"/>
      <c r="D292" s="260"/>
      <c r="E292" s="222">
        <v>2017</v>
      </c>
      <c r="F292" s="7">
        <f t="shared" si="48"/>
        <v>60180.4</v>
      </c>
      <c r="G292" s="7"/>
      <c r="H292" s="7"/>
      <c r="I292" s="7">
        <f>28167.4+27751.9+4261.1</f>
        <v>60180.4</v>
      </c>
      <c r="J292" s="14"/>
      <c r="K292" s="249"/>
      <c r="L292" s="104"/>
      <c r="M292" s="104" t="s">
        <v>347</v>
      </c>
      <c r="N292" s="28"/>
      <c r="O292" s="104" t="s">
        <v>343</v>
      </c>
      <c r="P292" s="104">
        <v>861.1</v>
      </c>
      <c r="Q292" s="28"/>
      <c r="R292" s="28"/>
      <c r="S292" s="28"/>
      <c r="T292" s="28"/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F292" s="28"/>
    </row>
    <row r="293" spans="1:32" ht="12.75" customHeight="1" x14ac:dyDescent="0.25">
      <c r="A293" s="271"/>
      <c r="B293" s="283"/>
      <c r="C293" s="272"/>
      <c r="D293" s="260"/>
      <c r="E293" s="222">
        <v>2018</v>
      </c>
      <c r="F293" s="7">
        <f t="shared" si="48"/>
        <v>66992.800000000003</v>
      </c>
      <c r="G293" s="7"/>
      <c r="H293" s="7">
        <f>1042.9-298.4</f>
        <v>744.50000000000011</v>
      </c>
      <c r="I293" s="7">
        <f>64246.1+2002.2</f>
        <v>66248.3</v>
      </c>
      <c r="J293" s="14"/>
      <c r="K293" s="249"/>
      <c r="L293" s="104"/>
      <c r="M293" s="104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F293" s="28"/>
    </row>
    <row r="294" spans="1:32" ht="12.75" customHeight="1" x14ac:dyDescent="0.25">
      <c r="A294" s="271"/>
      <c r="B294" s="283"/>
      <c r="C294" s="272"/>
      <c r="D294" s="260"/>
      <c r="E294" s="222">
        <v>2019</v>
      </c>
      <c r="F294" s="7">
        <f t="shared" si="48"/>
        <v>99137.5</v>
      </c>
      <c r="G294" s="7"/>
      <c r="H294" s="7">
        <f>1164.3-84.4-226.7</f>
        <v>853.19999999999982</v>
      </c>
      <c r="I294" s="7">
        <f>71240+15555.7+5677.1+5811.5</f>
        <v>98284.3</v>
      </c>
      <c r="J294" s="14"/>
      <c r="K294" s="249"/>
      <c r="L294" s="104"/>
      <c r="M294" s="104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F294" s="28"/>
    </row>
    <row r="295" spans="1:32" ht="12.75" customHeight="1" x14ac:dyDescent="0.25">
      <c r="A295" s="271"/>
      <c r="B295" s="283"/>
      <c r="C295" s="272"/>
      <c r="D295" s="260"/>
      <c r="E295" s="222">
        <v>2020</v>
      </c>
      <c r="F295" s="7">
        <f t="shared" si="48"/>
        <v>90646.9</v>
      </c>
      <c r="G295" s="7"/>
      <c r="H295" s="7">
        <f>1164.3-226.9-60.8</f>
        <v>876.6</v>
      </c>
      <c r="I295" s="7">
        <f>29770.9-20607.7+71105.9+9501.2</f>
        <v>89770.299999999988</v>
      </c>
      <c r="J295" s="14"/>
      <c r="K295" s="249"/>
      <c r="L295" s="28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F295" s="28"/>
    </row>
    <row r="296" spans="1:32" ht="12.75" customHeight="1" x14ac:dyDescent="0.25">
      <c r="A296" s="271"/>
      <c r="B296" s="283"/>
      <c r="C296" s="272"/>
      <c r="D296" s="260"/>
      <c r="E296" s="222">
        <v>2021</v>
      </c>
      <c r="F296" s="7">
        <f t="shared" ref="F296:F299" si="49">SUM(G296:I296)</f>
        <v>89442.3</v>
      </c>
      <c r="G296" s="7"/>
      <c r="H296" s="7">
        <f>1164.3-226.9+815.8</f>
        <v>1753.1999999999998</v>
      </c>
      <c r="I296" s="7">
        <f>9861.8-9846+14442.6+25317.3+47913.4</f>
        <v>87689.1</v>
      </c>
      <c r="J296" s="14"/>
      <c r="K296" s="249"/>
      <c r="L296" s="104"/>
      <c r="M296" s="104" t="s">
        <v>347</v>
      </c>
      <c r="N296" s="28"/>
      <c r="O296" s="104" t="s">
        <v>343</v>
      </c>
      <c r="P296" s="104">
        <v>861.1</v>
      </c>
      <c r="Q296" s="28"/>
      <c r="R296" s="28"/>
      <c r="S296" s="28"/>
      <c r="T296" s="28"/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F296" s="28"/>
    </row>
    <row r="297" spans="1:32" ht="12.75" customHeight="1" x14ac:dyDescent="0.25">
      <c r="A297" s="271"/>
      <c r="B297" s="283"/>
      <c r="C297" s="272"/>
      <c r="D297" s="260"/>
      <c r="E297" s="222">
        <v>2022</v>
      </c>
      <c r="F297" s="7">
        <f t="shared" si="49"/>
        <v>30044.3</v>
      </c>
      <c r="G297" s="7"/>
      <c r="H297" s="7">
        <f>1300-362.6+815.8</f>
        <v>1753.1999999999998</v>
      </c>
      <c r="I297" s="7">
        <f>10256.3-10256.3+28291.1</f>
        <v>28291.1</v>
      </c>
      <c r="J297" s="14"/>
      <c r="K297" s="249"/>
      <c r="L297" s="104"/>
      <c r="M297" s="104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F297" s="28"/>
    </row>
    <row r="298" spans="1:32" ht="12.75" customHeight="1" x14ac:dyDescent="0.25">
      <c r="A298" s="271"/>
      <c r="B298" s="283"/>
      <c r="C298" s="272"/>
      <c r="D298" s="260"/>
      <c r="E298" s="222">
        <v>2023</v>
      </c>
      <c r="F298" s="7">
        <f t="shared" si="49"/>
        <v>11552</v>
      </c>
      <c r="G298" s="7"/>
      <c r="H298" s="7">
        <f>1359.8+393.4</f>
        <v>1753.1999999999998</v>
      </c>
      <c r="I298" s="7">
        <f>10666.6-867.8</f>
        <v>9798.8000000000011</v>
      </c>
      <c r="J298" s="14"/>
      <c r="K298" s="249"/>
      <c r="L298" s="104"/>
      <c r="M298" s="104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F298" s="28"/>
    </row>
    <row r="299" spans="1:32" ht="12.75" customHeight="1" x14ac:dyDescent="0.25">
      <c r="A299" s="271"/>
      <c r="B299" s="283"/>
      <c r="C299" s="272"/>
      <c r="D299" s="260"/>
      <c r="E299" s="222">
        <v>2024</v>
      </c>
      <c r="F299" s="7">
        <f t="shared" si="49"/>
        <v>12515.699999999999</v>
      </c>
      <c r="G299" s="7"/>
      <c r="H299" s="7">
        <v>1422.4</v>
      </c>
      <c r="I299" s="7">
        <v>11093.3</v>
      </c>
      <c r="J299" s="14"/>
      <c r="K299" s="249"/>
      <c r="L299" s="28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F299" s="28"/>
    </row>
    <row r="300" spans="1:32" ht="12.75" customHeight="1" x14ac:dyDescent="0.25">
      <c r="A300" s="271"/>
      <c r="B300" s="283"/>
      <c r="C300" s="272"/>
      <c r="D300" s="260"/>
      <c r="E300" s="222">
        <v>2025</v>
      </c>
      <c r="F300" s="7">
        <f t="shared" ref="F300" si="50">SUM(G300:I300)</f>
        <v>13024.8</v>
      </c>
      <c r="G300" s="7"/>
      <c r="H300" s="7">
        <v>1487.8</v>
      </c>
      <c r="I300" s="7">
        <v>11537</v>
      </c>
      <c r="J300" s="14"/>
      <c r="K300" s="249"/>
      <c r="L300" s="28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F300" s="28"/>
    </row>
    <row r="301" spans="1:32" ht="36" customHeight="1" x14ac:dyDescent="0.2">
      <c r="A301" s="271"/>
      <c r="B301" s="283"/>
      <c r="C301" s="272"/>
      <c r="D301" s="260"/>
      <c r="E301" s="26" t="s">
        <v>18</v>
      </c>
      <c r="F301" s="9">
        <f>SUM(F290:F300)</f>
        <v>529112.19999999995</v>
      </c>
      <c r="G301" s="9"/>
      <c r="H301" s="9">
        <f>SUM(H290:H300)</f>
        <v>10644.099999999999</v>
      </c>
      <c r="I301" s="9">
        <f>SUM(I290:I300)</f>
        <v>518468.1</v>
      </c>
      <c r="J301" s="22"/>
      <c r="K301" s="250"/>
    </row>
    <row r="302" spans="1:32" ht="12.75" customHeight="1" x14ac:dyDescent="0.25">
      <c r="A302" s="271" t="s">
        <v>263</v>
      </c>
      <c r="B302" s="258" t="s">
        <v>246</v>
      </c>
      <c r="C302" s="272" t="s">
        <v>292</v>
      </c>
      <c r="D302" s="260" t="s">
        <v>449</v>
      </c>
      <c r="E302" s="222">
        <v>2017</v>
      </c>
      <c r="F302" s="7">
        <f t="shared" ref="F302:F305" si="51">SUM(G302:I302)</f>
        <v>4240.7</v>
      </c>
      <c r="G302" s="7"/>
      <c r="H302" s="7"/>
      <c r="I302" s="7">
        <f>4186+54.7</f>
        <v>4240.7</v>
      </c>
      <c r="J302" s="14"/>
      <c r="K302" s="248" t="s">
        <v>253</v>
      </c>
      <c r="L302" s="104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F302" s="28"/>
    </row>
    <row r="303" spans="1:32" ht="12.75" customHeight="1" x14ac:dyDescent="0.2">
      <c r="A303" s="271"/>
      <c r="B303" s="283"/>
      <c r="C303" s="272"/>
      <c r="D303" s="260"/>
      <c r="E303" s="222">
        <v>2018</v>
      </c>
      <c r="F303" s="14">
        <f t="shared" si="51"/>
        <v>0</v>
      </c>
      <c r="G303" s="14"/>
      <c r="H303" s="14"/>
      <c r="I303" s="14"/>
      <c r="J303" s="14"/>
      <c r="K303" s="249"/>
      <c r="L303" s="46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F303" s="28"/>
    </row>
    <row r="304" spans="1:32" ht="12.75" customHeight="1" x14ac:dyDescent="0.2">
      <c r="A304" s="271"/>
      <c r="B304" s="283"/>
      <c r="C304" s="272"/>
      <c r="D304" s="260"/>
      <c r="E304" s="222">
        <v>2019</v>
      </c>
      <c r="F304" s="14">
        <f t="shared" si="51"/>
        <v>0</v>
      </c>
      <c r="G304" s="14"/>
      <c r="H304" s="14"/>
      <c r="I304" s="14"/>
      <c r="J304" s="14"/>
      <c r="K304" s="249"/>
      <c r="L304" s="104"/>
      <c r="M304" s="104" t="s">
        <v>235</v>
      </c>
      <c r="N304" s="28"/>
      <c r="O304" s="28"/>
      <c r="P304" s="104"/>
      <c r="Q304" s="28"/>
      <c r="R304" s="28"/>
      <c r="S304" s="28"/>
      <c r="T304" s="28"/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F304" s="28"/>
    </row>
    <row r="305" spans="1:32" ht="12.75" customHeight="1" x14ac:dyDescent="0.2">
      <c r="A305" s="271"/>
      <c r="B305" s="283"/>
      <c r="C305" s="272"/>
      <c r="D305" s="260"/>
      <c r="E305" s="222">
        <v>2020</v>
      </c>
      <c r="F305" s="14">
        <f t="shared" si="51"/>
        <v>0</v>
      </c>
      <c r="G305" s="14"/>
      <c r="H305" s="14"/>
      <c r="I305" s="14"/>
      <c r="J305" s="14"/>
      <c r="K305" s="249"/>
      <c r="L305" s="104"/>
      <c r="M305" s="104" t="s">
        <v>236</v>
      </c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F305" s="28"/>
    </row>
    <row r="306" spans="1:32" ht="36" customHeight="1" x14ac:dyDescent="0.2">
      <c r="A306" s="271"/>
      <c r="B306" s="283"/>
      <c r="C306" s="272"/>
      <c r="D306" s="260"/>
      <c r="E306" s="26" t="s">
        <v>18</v>
      </c>
      <c r="F306" s="9">
        <f>SUM(F302:F305)</f>
        <v>4240.7</v>
      </c>
      <c r="G306" s="9"/>
      <c r="H306" s="9"/>
      <c r="I306" s="9">
        <f>SUM(I302:I305)</f>
        <v>4240.7</v>
      </c>
      <c r="J306" s="22"/>
      <c r="K306" s="250"/>
      <c r="N306" s="99" t="s">
        <v>321</v>
      </c>
      <c r="P306" s="99" t="s">
        <v>322</v>
      </c>
    </row>
    <row r="307" spans="1:32" ht="12.75" customHeight="1" x14ac:dyDescent="0.25">
      <c r="A307" s="271" t="s">
        <v>271</v>
      </c>
      <c r="B307" s="258" t="s">
        <v>247</v>
      </c>
      <c r="C307" s="272" t="s">
        <v>396</v>
      </c>
      <c r="D307" s="260" t="s">
        <v>449</v>
      </c>
      <c r="E307" s="222">
        <v>2017</v>
      </c>
      <c r="F307" s="7">
        <f t="shared" ref="F307:F309" si="52">SUM(G307:I307)</f>
        <v>50179.899999999994</v>
      </c>
      <c r="G307" s="7"/>
      <c r="H307" s="7">
        <f>39366.1+2524.5-9876.8</f>
        <v>32013.8</v>
      </c>
      <c r="I307" s="7">
        <f>19299.3-1133.2</f>
        <v>18166.099999999999</v>
      </c>
      <c r="J307" s="14"/>
      <c r="K307" s="260" t="s">
        <v>254</v>
      </c>
      <c r="L307" s="104" t="s">
        <v>341</v>
      </c>
      <c r="M307" s="104" t="s">
        <v>340</v>
      </c>
      <c r="N307" s="28"/>
      <c r="O307" s="28"/>
      <c r="P307" s="104" t="s">
        <v>342</v>
      </c>
      <c r="Q307" s="28"/>
      <c r="R307" s="104" t="s">
        <v>325</v>
      </c>
      <c r="S307" s="28"/>
      <c r="T307" s="28"/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F307" s="28"/>
    </row>
    <row r="308" spans="1:32" ht="12.75" customHeight="1" x14ac:dyDescent="0.25">
      <c r="A308" s="271"/>
      <c r="B308" s="283"/>
      <c r="C308" s="272"/>
      <c r="D308" s="260"/>
      <c r="E308" s="222">
        <v>2018</v>
      </c>
      <c r="F308" s="7">
        <f t="shared" si="52"/>
        <v>55056.1</v>
      </c>
      <c r="G308" s="7"/>
      <c r="H308" s="7">
        <f>45376.8-6129.8</f>
        <v>39247</v>
      </c>
      <c r="I308" s="7">
        <f>14056.7+1752.4</f>
        <v>15809.1</v>
      </c>
      <c r="J308" s="14"/>
      <c r="K308" s="260"/>
      <c r="L308" s="46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F308" s="28"/>
    </row>
    <row r="309" spans="1:32" ht="12.75" customHeight="1" x14ac:dyDescent="0.25">
      <c r="A309" s="271"/>
      <c r="B309" s="283"/>
      <c r="C309" s="272"/>
      <c r="D309" s="260"/>
      <c r="E309" s="222">
        <v>2019</v>
      </c>
      <c r="F309" s="7">
        <f t="shared" si="52"/>
        <v>49038.400000000001</v>
      </c>
      <c r="G309" s="7"/>
      <c r="H309" s="7">
        <f>42020.2-3581.2-269.7</f>
        <v>38169.300000000003</v>
      </c>
      <c r="I309" s="7">
        <f>10138-21.4+752.5</f>
        <v>10869.1</v>
      </c>
      <c r="J309" s="14"/>
      <c r="K309" s="260"/>
      <c r="L309" s="104"/>
      <c r="M309" s="104" t="s">
        <v>235</v>
      </c>
      <c r="N309" s="28"/>
      <c r="O309" s="28"/>
      <c r="P309" s="104"/>
      <c r="Q309" s="28"/>
      <c r="R309" s="28"/>
      <c r="S309" s="28"/>
      <c r="T309" s="28"/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F309" s="28"/>
    </row>
    <row r="310" spans="1:32" ht="12.75" customHeight="1" x14ac:dyDescent="0.25">
      <c r="A310" s="271"/>
      <c r="B310" s="283"/>
      <c r="C310" s="272"/>
      <c r="D310" s="260"/>
      <c r="E310" s="222">
        <v>2020</v>
      </c>
      <c r="F310" s="7">
        <f>SUM(G310:I310)</f>
        <v>49306.6</v>
      </c>
      <c r="G310" s="7">
        <v>8676.4</v>
      </c>
      <c r="H310" s="7">
        <f>42349.7+4621.3-4526.1-10106.3</f>
        <v>32338.600000000002</v>
      </c>
      <c r="I310" s="7">
        <f>10906.6-2615</f>
        <v>8291.6</v>
      </c>
      <c r="J310" s="14"/>
      <c r="K310" s="260"/>
      <c r="L310" s="104"/>
      <c r="M310" s="104" t="s">
        <v>236</v>
      </c>
      <c r="N310" s="28"/>
      <c r="O310" s="28"/>
      <c r="P310" s="28"/>
      <c r="Q310" s="28"/>
      <c r="R310" s="124"/>
      <c r="S310" s="28"/>
      <c r="T310" s="28"/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F310" s="28"/>
    </row>
    <row r="311" spans="1:32" ht="12.75" customHeight="1" x14ac:dyDescent="0.25">
      <c r="A311" s="271"/>
      <c r="B311" s="283"/>
      <c r="C311" s="272"/>
      <c r="D311" s="260"/>
      <c r="E311" s="222">
        <v>2021</v>
      </c>
      <c r="F311" s="7">
        <f t="shared" ref="F311:F314" si="53">SUM(G311:I311)</f>
        <v>46942.1</v>
      </c>
      <c r="G311" s="7">
        <v>21760.3</v>
      </c>
      <c r="H311" s="7">
        <f>42710-3770.5-23367.7</f>
        <v>15571.8</v>
      </c>
      <c r="I311" s="7">
        <v>9610</v>
      </c>
      <c r="J311" s="14"/>
      <c r="K311" s="260"/>
      <c r="L311" s="104" t="s">
        <v>341</v>
      </c>
      <c r="M311" s="104" t="s">
        <v>340</v>
      </c>
      <c r="N311" s="28"/>
      <c r="O311" s="28"/>
      <c r="P311" s="104" t="s">
        <v>342</v>
      </c>
      <c r="Q311" s="28"/>
      <c r="R311" s="104" t="s">
        <v>325</v>
      </c>
      <c r="S311" s="28"/>
      <c r="T311" s="28"/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F311" s="28"/>
    </row>
    <row r="312" spans="1:32" ht="12.75" customHeight="1" x14ac:dyDescent="0.25">
      <c r="A312" s="271"/>
      <c r="B312" s="283"/>
      <c r="C312" s="272"/>
      <c r="D312" s="260"/>
      <c r="E312" s="222">
        <v>2022</v>
      </c>
      <c r="F312" s="7">
        <f t="shared" si="53"/>
        <v>37243.699999999997</v>
      </c>
      <c r="G312" s="7">
        <v>22979.7</v>
      </c>
      <c r="H312" s="7">
        <f>45300-6360.5-24675.5</f>
        <v>14264</v>
      </c>
      <c r="I312" s="7">
        <v>0</v>
      </c>
      <c r="J312" s="14"/>
      <c r="K312" s="260"/>
      <c r="L312" s="46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F312" s="28"/>
    </row>
    <row r="313" spans="1:32" ht="12.75" customHeight="1" x14ac:dyDescent="0.25">
      <c r="A313" s="271"/>
      <c r="B313" s="283"/>
      <c r="C313" s="272"/>
      <c r="D313" s="260"/>
      <c r="E313" s="222">
        <v>2023</v>
      </c>
      <c r="F313" s="7">
        <f t="shared" si="53"/>
        <v>43077.2</v>
      </c>
      <c r="G313" s="7">
        <v>23350.1</v>
      </c>
      <c r="H313" s="7">
        <f>47383.8-27656.7</f>
        <v>19727.100000000002</v>
      </c>
      <c r="I313" s="7">
        <v>0</v>
      </c>
      <c r="J313" s="14"/>
      <c r="K313" s="260"/>
      <c r="L313" s="104"/>
      <c r="M313" s="104" t="s">
        <v>235</v>
      </c>
      <c r="N313" s="28"/>
      <c r="O313" s="28"/>
      <c r="P313" s="104"/>
      <c r="Q313" s="28"/>
      <c r="R313" s="28"/>
      <c r="S313" s="28"/>
      <c r="T313" s="28"/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F313" s="28"/>
    </row>
    <row r="314" spans="1:32" ht="12.75" customHeight="1" x14ac:dyDescent="0.25">
      <c r="A314" s="271"/>
      <c r="B314" s="283"/>
      <c r="C314" s="272"/>
      <c r="D314" s="260"/>
      <c r="E314" s="222">
        <v>2024</v>
      </c>
      <c r="F314" s="7">
        <f t="shared" si="53"/>
        <v>49563.5</v>
      </c>
      <c r="G314" s="7"/>
      <c r="H314" s="7">
        <v>49563.5</v>
      </c>
      <c r="I314" s="7">
        <v>0</v>
      </c>
      <c r="J314" s="14"/>
      <c r="K314" s="260"/>
      <c r="L314" s="104"/>
      <c r="M314" s="104" t="s">
        <v>236</v>
      </c>
      <c r="N314" s="28"/>
      <c r="O314" s="28"/>
      <c r="P314" s="28"/>
      <c r="Q314" s="28"/>
      <c r="R314" s="124"/>
      <c r="S314" s="28"/>
      <c r="T314" s="28"/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F314" s="28"/>
    </row>
    <row r="315" spans="1:32" ht="12.75" customHeight="1" x14ac:dyDescent="0.25">
      <c r="A315" s="271"/>
      <c r="B315" s="283"/>
      <c r="C315" s="272"/>
      <c r="D315" s="260"/>
      <c r="E315" s="222">
        <v>2025</v>
      </c>
      <c r="F315" s="7">
        <f t="shared" ref="F315" si="54">SUM(G315:I315)</f>
        <v>51843.4</v>
      </c>
      <c r="G315" s="7"/>
      <c r="H315" s="7">
        <v>51843.4</v>
      </c>
      <c r="I315" s="7">
        <v>0</v>
      </c>
      <c r="J315" s="14"/>
      <c r="K315" s="260"/>
      <c r="L315" s="104"/>
      <c r="M315" s="104" t="s">
        <v>236</v>
      </c>
      <c r="N315" s="28"/>
      <c r="O315" s="28"/>
      <c r="P315" s="28"/>
      <c r="Q315" s="28"/>
      <c r="R315" s="124"/>
      <c r="S315" s="28"/>
      <c r="T315" s="28"/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F315" s="28"/>
    </row>
    <row r="316" spans="1:32" ht="36" customHeight="1" x14ac:dyDescent="0.2">
      <c r="A316" s="271"/>
      <c r="B316" s="283"/>
      <c r="C316" s="272"/>
      <c r="D316" s="260"/>
      <c r="E316" s="18" t="s">
        <v>18</v>
      </c>
      <c r="F316" s="8">
        <f>SUM(F307:F315)</f>
        <v>432250.9</v>
      </c>
      <c r="G316" s="8">
        <f>SUM(G307:G315)</f>
        <v>76766.5</v>
      </c>
      <c r="H316" s="8">
        <f>SUM(H307:H315)</f>
        <v>292738.5</v>
      </c>
      <c r="I316" s="8">
        <f>SUM(I307:I315)</f>
        <v>62745.899999999994</v>
      </c>
      <c r="J316" s="14"/>
      <c r="K316" s="260"/>
    </row>
    <row r="317" spans="1:32" ht="12.75" customHeight="1" x14ac:dyDescent="0.25">
      <c r="A317" s="507" t="s">
        <v>289</v>
      </c>
      <c r="B317" s="287" t="s">
        <v>291</v>
      </c>
      <c r="C317" s="272" t="s">
        <v>396</v>
      </c>
      <c r="D317" s="260" t="s">
        <v>449</v>
      </c>
      <c r="E317" s="222">
        <v>2017</v>
      </c>
      <c r="F317" s="7">
        <f t="shared" ref="F317:F320" si="55">SUM(G317:I317)</f>
        <v>7165.3</v>
      </c>
      <c r="G317" s="7"/>
      <c r="H317" s="7"/>
      <c r="I317" s="7">
        <v>7165.3</v>
      </c>
      <c r="J317" s="14"/>
      <c r="K317" s="513" t="s">
        <v>373</v>
      </c>
      <c r="L317" s="104" t="s">
        <v>358</v>
      </c>
      <c r="M317" s="104"/>
      <c r="N317" s="104" t="s">
        <v>339</v>
      </c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F317" s="28"/>
    </row>
    <row r="318" spans="1:32" ht="12.75" customHeight="1" x14ac:dyDescent="0.25">
      <c r="A318" s="507"/>
      <c r="B318" s="470"/>
      <c r="C318" s="272"/>
      <c r="D318" s="260"/>
      <c r="E318" s="222">
        <v>2018</v>
      </c>
      <c r="F318" s="7">
        <f t="shared" si="55"/>
        <v>5450</v>
      </c>
      <c r="G318" s="7"/>
      <c r="H318" s="7"/>
      <c r="I318" s="7">
        <v>5450</v>
      </c>
      <c r="J318" s="14"/>
      <c r="K318" s="514"/>
      <c r="L318" s="46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F318" s="28"/>
    </row>
    <row r="319" spans="1:32" ht="12.75" customHeight="1" x14ac:dyDescent="0.25">
      <c r="A319" s="507"/>
      <c r="B319" s="470"/>
      <c r="C319" s="272"/>
      <c r="D319" s="260"/>
      <c r="E319" s="222">
        <v>2019</v>
      </c>
      <c r="F319" s="7">
        <f t="shared" si="55"/>
        <v>7094.4</v>
      </c>
      <c r="G319" s="7"/>
      <c r="H319" s="7"/>
      <c r="I319" s="7">
        <f>6500+494.4+100</f>
        <v>7094.4</v>
      </c>
      <c r="J319" s="14"/>
      <c r="K319" s="514"/>
      <c r="L319" s="104"/>
      <c r="M319" s="104"/>
      <c r="N319" s="28"/>
      <c r="O319" s="28"/>
      <c r="P319" s="104"/>
      <c r="Q319" s="28"/>
      <c r="R319" s="28"/>
      <c r="S319" s="28"/>
      <c r="T319" s="28"/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F319" s="28"/>
    </row>
    <row r="320" spans="1:32" ht="12.75" customHeight="1" x14ac:dyDescent="0.25">
      <c r="A320" s="507"/>
      <c r="B320" s="470"/>
      <c r="C320" s="272"/>
      <c r="D320" s="260"/>
      <c r="E320" s="222">
        <v>2020</v>
      </c>
      <c r="F320" s="7">
        <f t="shared" si="55"/>
        <v>6935.2</v>
      </c>
      <c r="G320" s="7"/>
      <c r="H320" s="7"/>
      <c r="I320" s="7">
        <f>7000-64.8</f>
        <v>6935.2</v>
      </c>
      <c r="J320" s="14"/>
      <c r="K320" s="514"/>
      <c r="L320" s="104"/>
      <c r="M320" s="104"/>
      <c r="N320" s="28"/>
      <c r="O320" s="28"/>
      <c r="P320" s="28"/>
      <c r="Q320" s="28"/>
      <c r="R320" s="28"/>
      <c r="S320" s="28"/>
      <c r="T320" s="28"/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F320" s="28"/>
    </row>
    <row r="321" spans="1:36" ht="12.75" customHeight="1" x14ac:dyDescent="0.25">
      <c r="A321" s="507"/>
      <c r="B321" s="470"/>
      <c r="C321" s="272"/>
      <c r="D321" s="260"/>
      <c r="E321" s="222">
        <v>2021</v>
      </c>
      <c r="F321" s="7">
        <f t="shared" ref="F321:F324" si="56">SUM(G321:I321)</f>
        <v>8000</v>
      </c>
      <c r="G321" s="7"/>
      <c r="H321" s="7"/>
      <c r="I321" s="7">
        <v>8000</v>
      </c>
      <c r="J321" s="14"/>
      <c r="K321" s="514"/>
      <c r="L321" s="104" t="s">
        <v>358</v>
      </c>
      <c r="M321" s="104"/>
      <c r="N321" s="104" t="s">
        <v>339</v>
      </c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F321" s="28"/>
    </row>
    <row r="322" spans="1:36" ht="12.75" customHeight="1" x14ac:dyDescent="0.25">
      <c r="A322" s="507"/>
      <c r="B322" s="470"/>
      <c r="C322" s="272"/>
      <c r="D322" s="260"/>
      <c r="E322" s="222">
        <v>2022</v>
      </c>
      <c r="F322" s="7">
        <f t="shared" si="56"/>
        <v>0</v>
      </c>
      <c r="G322" s="7"/>
      <c r="H322" s="7"/>
      <c r="I322" s="7">
        <v>0</v>
      </c>
      <c r="J322" s="14"/>
      <c r="K322" s="514"/>
      <c r="L322" s="46"/>
      <c r="M322" s="28"/>
      <c r="N322" s="28"/>
      <c r="O322" s="28"/>
      <c r="P322" s="28"/>
      <c r="Q322" s="28"/>
      <c r="R322" s="28"/>
      <c r="S322" s="28"/>
      <c r="T322" s="28"/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F322" s="28"/>
    </row>
    <row r="323" spans="1:36" ht="12.75" customHeight="1" x14ac:dyDescent="0.25">
      <c r="A323" s="507"/>
      <c r="B323" s="470"/>
      <c r="C323" s="272"/>
      <c r="D323" s="260"/>
      <c r="E323" s="222">
        <v>2023</v>
      </c>
      <c r="F323" s="7">
        <f t="shared" si="56"/>
        <v>0</v>
      </c>
      <c r="G323" s="7"/>
      <c r="H323" s="7"/>
      <c r="I323" s="7">
        <v>0</v>
      </c>
      <c r="J323" s="14"/>
      <c r="K323" s="514"/>
      <c r="L323" s="104"/>
      <c r="M323" s="104"/>
      <c r="N323" s="28"/>
      <c r="O323" s="28"/>
      <c r="P323" s="104"/>
      <c r="Q323" s="28"/>
      <c r="R323" s="28"/>
      <c r="S323" s="28"/>
      <c r="T323" s="28"/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F323" s="28"/>
    </row>
    <row r="324" spans="1:36" ht="12.75" customHeight="1" x14ac:dyDescent="0.25">
      <c r="A324" s="507"/>
      <c r="B324" s="470"/>
      <c r="C324" s="272"/>
      <c r="D324" s="260"/>
      <c r="E324" s="222">
        <v>2024</v>
      </c>
      <c r="F324" s="7">
        <f t="shared" si="56"/>
        <v>0</v>
      </c>
      <c r="G324" s="7"/>
      <c r="H324" s="7"/>
      <c r="I324" s="7">
        <v>0</v>
      </c>
      <c r="J324" s="14"/>
      <c r="K324" s="514"/>
      <c r="L324" s="104"/>
      <c r="M324" s="104"/>
      <c r="N324" s="28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F324" s="28"/>
    </row>
    <row r="325" spans="1:36" ht="12.75" customHeight="1" x14ac:dyDescent="0.25">
      <c r="A325" s="507"/>
      <c r="B325" s="470"/>
      <c r="C325" s="272"/>
      <c r="D325" s="260"/>
      <c r="E325" s="222">
        <v>2025</v>
      </c>
      <c r="F325" s="7">
        <f t="shared" ref="F325" si="57">SUM(G325:I325)</f>
        <v>0</v>
      </c>
      <c r="G325" s="7"/>
      <c r="H325" s="7"/>
      <c r="I325" s="7">
        <v>0</v>
      </c>
      <c r="J325" s="14"/>
      <c r="K325" s="514"/>
      <c r="L325" s="104"/>
      <c r="M325" s="104"/>
      <c r="N325" s="28"/>
      <c r="O325" s="28"/>
      <c r="P325" s="28"/>
      <c r="Q325" s="28"/>
      <c r="R325" s="28"/>
      <c r="S325" s="28"/>
      <c r="T325" s="28"/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F325" s="28"/>
    </row>
    <row r="326" spans="1:36" ht="36" customHeight="1" x14ac:dyDescent="0.2">
      <c r="A326" s="507"/>
      <c r="B326" s="470"/>
      <c r="C326" s="272"/>
      <c r="D326" s="260"/>
      <c r="E326" s="26" t="s">
        <v>18</v>
      </c>
      <c r="F326" s="9">
        <f>SUM(F317:F325)</f>
        <v>34644.899999999994</v>
      </c>
      <c r="G326" s="9"/>
      <c r="H326" s="9"/>
      <c r="I326" s="9">
        <f>SUM(I317:I325)</f>
        <v>34644.899999999994</v>
      </c>
      <c r="J326" s="22"/>
      <c r="K326" s="517"/>
    </row>
    <row r="327" spans="1:36" ht="16.5" customHeight="1" x14ac:dyDescent="0.2">
      <c r="A327" s="418" t="s">
        <v>206</v>
      </c>
      <c r="B327" s="379"/>
      <c r="C327" s="379"/>
      <c r="D327" s="379"/>
      <c r="E327" s="18" t="s">
        <v>18</v>
      </c>
      <c r="F327" s="140">
        <f>F326+F316+F306+F301+F288+F281+F266+F264+F262+F259+F257+F253+F236+F231+F228+F272+F242</f>
        <v>2613924.9000000008</v>
      </c>
      <c r="G327" s="140">
        <f t="shared" ref="G327:I327" si="58">G326+G316+G306+G301+G288+G281+G266+G264+G262+G259+G257+G253+G236+G231+G228+G272+G242</f>
        <v>77773.8</v>
      </c>
      <c r="H327" s="140">
        <f t="shared" si="58"/>
        <v>1813163.5999999996</v>
      </c>
      <c r="I327" s="140">
        <f t="shared" si="58"/>
        <v>722987.49999999988</v>
      </c>
      <c r="J327" s="90"/>
      <c r="K327" s="89"/>
      <c r="L327" s="126"/>
      <c r="M327" s="127"/>
      <c r="N327" s="127"/>
      <c r="O327" s="99"/>
    </row>
    <row r="328" spans="1:36" ht="18.75" customHeight="1" x14ac:dyDescent="0.25">
      <c r="A328" s="515" t="s">
        <v>62</v>
      </c>
      <c r="B328" s="515"/>
      <c r="C328" s="515"/>
      <c r="D328" s="515"/>
      <c r="E328" s="515"/>
      <c r="F328" s="515"/>
      <c r="G328" s="515"/>
      <c r="H328" s="515"/>
      <c r="I328" s="515"/>
      <c r="J328" s="515"/>
      <c r="K328" s="515"/>
    </row>
    <row r="329" spans="1:36" ht="31.5" customHeight="1" x14ac:dyDescent="0.2">
      <c r="A329" s="516" t="s">
        <v>63</v>
      </c>
      <c r="B329" s="379"/>
      <c r="C329" s="379"/>
      <c r="D329" s="379"/>
      <c r="E329" s="379"/>
      <c r="F329" s="379"/>
      <c r="G329" s="379"/>
      <c r="H329" s="379"/>
      <c r="I329" s="379"/>
      <c r="J329" s="379"/>
      <c r="K329" s="379"/>
      <c r="L329" s="47"/>
      <c r="M329" s="47"/>
      <c r="N329" s="47"/>
      <c r="O329" s="47"/>
      <c r="P329" s="47"/>
      <c r="Q329" s="47"/>
      <c r="R329" s="47"/>
      <c r="S329" s="47"/>
      <c r="T329" s="47"/>
      <c r="U329" s="47"/>
      <c r="V329" s="47"/>
      <c r="W329" s="47"/>
      <c r="X329" s="47"/>
      <c r="Y329" s="47"/>
      <c r="Z329" s="47"/>
      <c r="AA329" s="47"/>
      <c r="AB329" s="47"/>
      <c r="AC329" s="47"/>
      <c r="AD329" s="47"/>
      <c r="AE329" s="47"/>
      <c r="AF329" s="47"/>
      <c r="AG329" s="28"/>
      <c r="AH329" s="28"/>
      <c r="AI329" s="28"/>
      <c r="AJ329" s="28"/>
    </row>
    <row r="330" spans="1:36" ht="15" x14ac:dyDescent="0.25">
      <c r="A330" s="271" t="s">
        <v>64</v>
      </c>
      <c r="B330" s="506" t="s">
        <v>221</v>
      </c>
      <c r="C330" s="276" t="s">
        <v>395</v>
      </c>
      <c r="D330" s="248" t="s">
        <v>449</v>
      </c>
      <c r="E330" s="222">
        <v>2015</v>
      </c>
      <c r="F330" s="7">
        <f t="shared" ref="F330:F335" si="59">SUM(G330:J330)</f>
        <v>471461.89999999997</v>
      </c>
      <c r="G330" s="7"/>
      <c r="H330" s="7">
        <f>457488.8+13973.1</f>
        <v>471461.89999999997</v>
      </c>
      <c r="I330" s="14"/>
      <c r="J330" s="14"/>
      <c r="K330" s="248" t="s">
        <v>248</v>
      </c>
    </row>
    <row r="331" spans="1:36" ht="15" x14ac:dyDescent="0.25">
      <c r="A331" s="271"/>
      <c r="B331" s="321"/>
      <c r="C331" s="290"/>
      <c r="D331" s="249"/>
      <c r="E331" s="222">
        <v>2016</v>
      </c>
      <c r="F331" s="7">
        <f t="shared" si="59"/>
        <v>485636.2</v>
      </c>
      <c r="G331" s="7"/>
      <c r="H331" s="7">
        <f>503346-17709.8</f>
        <v>485636.2</v>
      </c>
      <c r="I331" s="14"/>
      <c r="J331" s="14"/>
      <c r="K331" s="249"/>
      <c r="L331" s="99"/>
    </row>
    <row r="332" spans="1:36" ht="15" x14ac:dyDescent="0.25">
      <c r="A332" s="271"/>
      <c r="B332" s="321"/>
      <c r="C332" s="290"/>
      <c r="D332" s="249"/>
      <c r="E332" s="222">
        <v>2017</v>
      </c>
      <c r="F332" s="7">
        <f t="shared" si="59"/>
        <v>490057.5</v>
      </c>
      <c r="G332" s="7"/>
      <c r="H332" s="7">
        <f>478983.8+11073.7</f>
        <v>490057.5</v>
      </c>
      <c r="I332" s="14"/>
      <c r="J332" s="14"/>
      <c r="K332" s="249"/>
      <c r="L332" s="99"/>
      <c r="M332" s="106"/>
      <c r="N332" s="99" t="s">
        <v>336</v>
      </c>
      <c r="P332" s="99" t="s">
        <v>337</v>
      </c>
    </row>
    <row r="333" spans="1:36" ht="15" x14ac:dyDescent="0.25">
      <c r="A333" s="271"/>
      <c r="B333" s="321"/>
      <c r="C333" s="290"/>
      <c r="D333" s="249"/>
      <c r="E333" s="222">
        <v>2018</v>
      </c>
      <c r="F333" s="7">
        <f t="shared" si="59"/>
        <v>566597.30000000005</v>
      </c>
      <c r="G333" s="7"/>
      <c r="H333" s="7">
        <f>524988.5+32092</f>
        <v>557080.5</v>
      </c>
      <c r="I333" s="7">
        <f>18868.4-9351.6</f>
        <v>9516.8000000000011</v>
      </c>
      <c r="J333" s="14"/>
      <c r="K333" s="249"/>
      <c r="L333" s="99"/>
      <c r="M333" s="106"/>
      <c r="N333" s="99" t="s">
        <v>238</v>
      </c>
    </row>
    <row r="334" spans="1:36" ht="15" x14ac:dyDescent="0.25">
      <c r="A334" s="271"/>
      <c r="B334" s="321"/>
      <c r="C334" s="290"/>
      <c r="D334" s="249"/>
      <c r="E334" s="222">
        <v>2019</v>
      </c>
      <c r="F334" s="7">
        <f t="shared" si="59"/>
        <v>671672</v>
      </c>
      <c r="G334" s="7"/>
      <c r="H334" s="7">
        <f>632734.1+18649.7+17030.3</f>
        <v>668414.1</v>
      </c>
      <c r="I334" s="7">
        <f>4190+164-1096.1</f>
        <v>3257.9</v>
      </c>
      <c r="J334" s="14"/>
      <c r="K334" s="249"/>
      <c r="L334" s="99"/>
      <c r="M334" s="106"/>
      <c r="N334" s="99" t="s">
        <v>239</v>
      </c>
    </row>
    <row r="335" spans="1:36" ht="15" x14ac:dyDescent="0.25">
      <c r="A335" s="271"/>
      <c r="B335" s="321"/>
      <c r="C335" s="290"/>
      <c r="D335" s="249"/>
      <c r="E335" s="222">
        <v>2020</v>
      </c>
      <c r="F335" s="7">
        <f t="shared" si="59"/>
        <v>692723.4</v>
      </c>
      <c r="G335" s="7"/>
      <c r="H335" s="7">
        <f>683135.5-24547.5+31164.3</f>
        <v>689752.3</v>
      </c>
      <c r="I335" s="7">
        <f>4190+716.9-1935.8</f>
        <v>2971.0999999999995</v>
      </c>
      <c r="J335" s="14"/>
      <c r="K335" s="249"/>
      <c r="L335" s="28"/>
      <c r="M335" s="28"/>
      <c r="N335" s="28"/>
      <c r="O335" s="28"/>
      <c r="P335" s="28"/>
      <c r="Q335" s="28"/>
      <c r="R335" s="28"/>
      <c r="S335" s="28"/>
      <c r="T335" s="28"/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F335" s="28"/>
    </row>
    <row r="336" spans="1:36" ht="15" x14ac:dyDescent="0.25">
      <c r="A336" s="271"/>
      <c r="B336" s="321"/>
      <c r="C336" s="290"/>
      <c r="D336" s="249"/>
      <c r="E336" s="222">
        <v>2021</v>
      </c>
      <c r="F336" s="7">
        <f t="shared" ref="F336:F340" si="60">SUM(G336:J336)</f>
        <v>510700.10000000009</v>
      </c>
      <c r="G336" s="7"/>
      <c r="H336" s="7">
        <f>728692.5-7796.6-1159.2-213626.6</f>
        <v>506110.10000000009</v>
      </c>
      <c r="I336" s="7">
        <f>4190+816.9-416.9</f>
        <v>4590</v>
      </c>
      <c r="J336" s="14"/>
      <c r="K336" s="249"/>
    </row>
    <row r="337" spans="1:32" ht="15" x14ac:dyDescent="0.25">
      <c r="A337" s="271"/>
      <c r="B337" s="321"/>
      <c r="C337" s="290"/>
      <c r="D337" s="249"/>
      <c r="E337" s="222">
        <v>2022</v>
      </c>
      <c r="F337" s="7">
        <f t="shared" si="60"/>
        <v>584062</v>
      </c>
      <c r="G337" s="7"/>
      <c r="H337" s="7">
        <f>790000-98757.9-328.2-111858.9</f>
        <v>579055</v>
      </c>
      <c r="I337" s="7">
        <f>4373.7-1.7+635</f>
        <v>5007</v>
      </c>
      <c r="J337" s="14"/>
      <c r="K337" s="249"/>
      <c r="L337" s="99"/>
    </row>
    <row r="338" spans="1:32" ht="15" x14ac:dyDescent="0.25">
      <c r="A338" s="271"/>
      <c r="B338" s="321"/>
      <c r="C338" s="290"/>
      <c r="D338" s="249"/>
      <c r="E338" s="222">
        <v>2023</v>
      </c>
      <c r="F338" s="7">
        <f t="shared" si="60"/>
        <v>581526.69999999995</v>
      </c>
      <c r="G338" s="7"/>
      <c r="H338" s="7">
        <f>826340-249323.3</f>
        <v>577016.69999999995</v>
      </c>
      <c r="I338" s="7">
        <f>4548.6-38.6</f>
        <v>4510</v>
      </c>
      <c r="J338" s="14"/>
      <c r="K338" s="249"/>
      <c r="L338" s="99"/>
      <c r="M338" s="106"/>
      <c r="N338" s="99" t="s">
        <v>336</v>
      </c>
      <c r="P338" s="99" t="s">
        <v>337</v>
      </c>
    </row>
    <row r="339" spans="1:32" ht="15" x14ac:dyDescent="0.25">
      <c r="A339" s="271"/>
      <c r="B339" s="321"/>
      <c r="C339" s="290"/>
      <c r="D339" s="249"/>
      <c r="E339" s="222">
        <v>2024</v>
      </c>
      <c r="F339" s="7">
        <f t="shared" si="60"/>
        <v>869082.2</v>
      </c>
      <c r="G339" s="7"/>
      <c r="H339" s="7">
        <v>864351.6</v>
      </c>
      <c r="I339" s="7">
        <v>4730.6000000000004</v>
      </c>
      <c r="J339" s="14"/>
      <c r="K339" s="249"/>
      <c r="L339" s="99"/>
      <c r="M339" s="106"/>
      <c r="N339" s="99" t="s">
        <v>238</v>
      </c>
    </row>
    <row r="340" spans="1:32" ht="15" x14ac:dyDescent="0.25">
      <c r="A340" s="271"/>
      <c r="B340" s="321"/>
      <c r="C340" s="290"/>
      <c r="D340" s="249"/>
      <c r="E340" s="222">
        <v>2025</v>
      </c>
      <c r="F340" s="7">
        <f t="shared" si="60"/>
        <v>909031.60000000009</v>
      </c>
      <c r="G340" s="7"/>
      <c r="H340" s="7">
        <v>904111.8</v>
      </c>
      <c r="I340" s="7">
        <v>4919.8</v>
      </c>
      <c r="J340" s="14"/>
      <c r="K340" s="249"/>
      <c r="L340" s="99"/>
      <c r="M340" s="106"/>
      <c r="N340" s="99" t="s">
        <v>239</v>
      </c>
    </row>
    <row r="341" spans="1:32" ht="66" customHeight="1" x14ac:dyDescent="0.2">
      <c r="A341" s="271"/>
      <c r="B341" s="322"/>
      <c r="C341" s="282"/>
      <c r="D341" s="249"/>
      <c r="E341" s="18" t="s">
        <v>18</v>
      </c>
      <c r="F341" s="8">
        <f>SUM(F330:F340)</f>
        <v>6832550.9000000004</v>
      </c>
      <c r="G341" s="8"/>
      <c r="H341" s="8">
        <f>SUM(H330:H340)</f>
        <v>6793047.6999999993</v>
      </c>
      <c r="I341" s="8">
        <f>SUM(I330:I340)</f>
        <v>39503.200000000004</v>
      </c>
      <c r="J341" s="13"/>
      <c r="K341" s="250"/>
      <c r="L341" s="28"/>
      <c r="M341" s="28"/>
      <c r="N341" s="28"/>
      <c r="O341" s="28"/>
      <c r="P341" s="28"/>
      <c r="Q341" s="28"/>
      <c r="R341" s="28"/>
      <c r="S341" s="28"/>
      <c r="T341" s="28"/>
      <c r="U341" s="28"/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F341" s="28"/>
    </row>
    <row r="342" spans="1:32" ht="15" x14ac:dyDescent="0.25">
      <c r="A342" s="271" t="s">
        <v>272</v>
      </c>
      <c r="B342" s="506" t="s">
        <v>249</v>
      </c>
      <c r="C342" s="276" t="s">
        <v>396</v>
      </c>
      <c r="D342" s="248" t="s">
        <v>449</v>
      </c>
      <c r="E342" s="222">
        <v>2017</v>
      </c>
      <c r="F342" s="7">
        <f t="shared" ref="F342:F345" si="61">SUM(G342:J342)</f>
        <v>2812.9</v>
      </c>
      <c r="G342" s="7"/>
      <c r="H342" s="7">
        <f>3265.6-452.7</f>
        <v>2812.9</v>
      </c>
      <c r="I342" s="14"/>
      <c r="J342" s="14"/>
      <c r="K342" s="248" t="s">
        <v>256</v>
      </c>
      <c r="L342" s="99"/>
    </row>
    <row r="343" spans="1:32" ht="15" x14ac:dyDescent="0.25">
      <c r="A343" s="271"/>
      <c r="B343" s="321"/>
      <c r="C343" s="290"/>
      <c r="D343" s="249"/>
      <c r="E343" s="222">
        <v>2018</v>
      </c>
      <c r="F343" s="7">
        <f t="shared" si="61"/>
        <v>2826.4</v>
      </c>
      <c r="G343" s="7"/>
      <c r="H343" s="7">
        <f>3504-677.6</f>
        <v>2826.4</v>
      </c>
      <c r="I343" s="14"/>
      <c r="J343" s="14"/>
      <c r="K343" s="249"/>
      <c r="L343" s="99"/>
    </row>
    <row r="344" spans="1:32" ht="15" x14ac:dyDescent="0.25">
      <c r="A344" s="271"/>
      <c r="B344" s="321"/>
      <c r="C344" s="290"/>
      <c r="D344" s="249"/>
      <c r="E344" s="222">
        <v>2019</v>
      </c>
      <c r="F344" s="7">
        <f t="shared" si="61"/>
        <v>3268.5999999999995</v>
      </c>
      <c r="G344" s="7"/>
      <c r="H344" s="7">
        <f>2389.2+819.7+59.7</f>
        <v>3268.5999999999995</v>
      </c>
      <c r="I344" s="14"/>
      <c r="J344" s="14"/>
      <c r="K344" s="249"/>
      <c r="L344" s="99"/>
      <c r="M344" s="106"/>
      <c r="N344" s="99" t="s">
        <v>237</v>
      </c>
    </row>
    <row r="345" spans="1:32" ht="15" x14ac:dyDescent="0.25">
      <c r="A345" s="271"/>
      <c r="B345" s="321"/>
      <c r="C345" s="290"/>
      <c r="D345" s="249"/>
      <c r="E345" s="222">
        <v>2020</v>
      </c>
      <c r="F345" s="7">
        <f t="shared" si="61"/>
        <v>3785.9000000000005</v>
      </c>
      <c r="G345" s="7"/>
      <c r="H345" s="7">
        <f>2535.5+2969.1-1718.7</f>
        <v>3785.9000000000005</v>
      </c>
      <c r="I345" s="14"/>
      <c r="J345" s="14"/>
      <c r="K345" s="249"/>
      <c r="L345" s="99"/>
      <c r="M345" s="106"/>
      <c r="N345" s="99" t="s">
        <v>238</v>
      </c>
    </row>
    <row r="346" spans="1:32" ht="15" x14ac:dyDescent="0.25">
      <c r="A346" s="271"/>
      <c r="B346" s="321"/>
      <c r="C346" s="290"/>
      <c r="D346" s="249"/>
      <c r="E346" s="222">
        <v>2021</v>
      </c>
      <c r="F346" s="7">
        <f t="shared" ref="F346:F349" si="62">SUM(G346:J346)</f>
        <v>2503</v>
      </c>
      <c r="G346" s="7"/>
      <c r="H346" s="7">
        <f>2655.1+7279.9-7432</f>
        <v>2503</v>
      </c>
      <c r="I346" s="14"/>
      <c r="J346" s="14"/>
      <c r="K346" s="249"/>
      <c r="L346" s="99"/>
    </row>
    <row r="347" spans="1:32" ht="15" x14ac:dyDescent="0.25">
      <c r="A347" s="271"/>
      <c r="B347" s="321"/>
      <c r="C347" s="290"/>
      <c r="D347" s="249"/>
      <c r="E347" s="222">
        <v>2022</v>
      </c>
      <c r="F347" s="7">
        <f t="shared" si="62"/>
        <v>2971.6000000000004</v>
      </c>
      <c r="G347" s="7"/>
      <c r="H347" s="7">
        <f>3000+5988.7-6017.1</f>
        <v>2971.6000000000004</v>
      </c>
      <c r="I347" s="14"/>
      <c r="J347" s="14"/>
      <c r="K347" s="249"/>
      <c r="L347" s="99"/>
    </row>
    <row r="348" spans="1:32" ht="15" x14ac:dyDescent="0.25">
      <c r="A348" s="271"/>
      <c r="B348" s="321"/>
      <c r="C348" s="290"/>
      <c r="D348" s="249"/>
      <c r="E348" s="222">
        <v>2023</v>
      </c>
      <c r="F348" s="7">
        <f t="shared" si="62"/>
        <v>3080.5</v>
      </c>
      <c r="G348" s="7"/>
      <c r="H348" s="7">
        <f>3138-57.5</f>
        <v>3080.5</v>
      </c>
      <c r="I348" s="14"/>
      <c r="J348" s="14"/>
      <c r="K348" s="249"/>
      <c r="L348" s="99"/>
      <c r="M348" s="106"/>
      <c r="N348" s="99" t="s">
        <v>237</v>
      </c>
    </row>
    <row r="349" spans="1:32" ht="15" x14ac:dyDescent="0.25">
      <c r="A349" s="271"/>
      <c r="B349" s="321"/>
      <c r="C349" s="290"/>
      <c r="D349" s="249"/>
      <c r="E349" s="222">
        <v>2024</v>
      </c>
      <c r="F349" s="7">
        <f t="shared" si="62"/>
        <v>3282.3</v>
      </c>
      <c r="G349" s="7"/>
      <c r="H349" s="7">
        <v>3282.3</v>
      </c>
      <c r="I349" s="14"/>
      <c r="J349" s="14"/>
      <c r="K349" s="249"/>
      <c r="L349" s="99"/>
      <c r="M349" s="106"/>
      <c r="N349" s="99" t="s">
        <v>238</v>
      </c>
    </row>
    <row r="350" spans="1:32" ht="15" x14ac:dyDescent="0.25">
      <c r="A350" s="271"/>
      <c r="B350" s="321"/>
      <c r="C350" s="290"/>
      <c r="D350" s="249"/>
      <c r="E350" s="222">
        <v>2025</v>
      </c>
      <c r="F350" s="7">
        <f t="shared" ref="F350" si="63">SUM(G350:J350)</f>
        <v>3433.3</v>
      </c>
      <c r="G350" s="7"/>
      <c r="H350" s="7">
        <v>3433.3</v>
      </c>
      <c r="I350" s="14"/>
      <c r="J350" s="14"/>
      <c r="K350" s="249"/>
      <c r="L350" s="99"/>
      <c r="M350" s="106"/>
      <c r="N350" s="99" t="s">
        <v>238</v>
      </c>
    </row>
    <row r="351" spans="1:32" ht="86.25" customHeight="1" x14ac:dyDescent="0.2">
      <c r="A351" s="271"/>
      <c r="B351" s="322"/>
      <c r="C351" s="282"/>
      <c r="D351" s="249"/>
      <c r="E351" s="18" t="s">
        <v>18</v>
      </c>
      <c r="F351" s="8">
        <f>SUM(F342:F350)</f>
        <v>27964.5</v>
      </c>
      <c r="G351" s="8"/>
      <c r="H351" s="8">
        <f>SUM(H342:H350)</f>
        <v>27964.5</v>
      </c>
      <c r="I351" s="13"/>
      <c r="J351" s="13"/>
      <c r="K351" s="250"/>
      <c r="L351" s="28"/>
      <c r="M351" s="28"/>
      <c r="N351" s="28"/>
      <c r="O351" s="28"/>
      <c r="P351" s="28"/>
      <c r="Q351" s="28"/>
      <c r="R351" s="28"/>
      <c r="S351" s="28"/>
      <c r="T351" s="28"/>
      <c r="U351" s="28"/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  <c r="AF351" s="28"/>
    </row>
    <row r="352" spans="1:32" ht="15" x14ac:dyDescent="0.25">
      <c r="A352" s="271" t="s">
        <v>280</v>
      </c>
      <c r="B352" s="506" t="s">
        <v>444</v>
      </c>
      <c r="C352" s="276" t="s">
        <v>447</v>
      </c>
      <c r="D352" s="248" t="s">
        <v>449</v>
      </c>
      <c r="E352" s="226">
        <v>2020</v>
      </c>
      <c r="F352" s="7">
        <f t="shared" ref="F352:F355" si="64">SUM(G352:J352)</f>
        <v>9695.7999999999993</v>
      </c>
      <c r="G352" s="7">
        <v>9695.7999999999993</v>
      </c>
      <c r="H352" s="7">
        <v>0</v>
      </c>
      <c r="I352" s="14"/>
      <c r="J352" s="14"/>
      <c r="K352" s="248" t="s">
        <v>445</v>
      </c>
      <c r="L352" s="99"/>
    </row>
    <row r="353" spans="1:32" ht="15" x14ac:dyDescent="0.25">
      <c r="A353" s="271"/>
      <c r="B353" s="321"/>
      <c r="C353" s="290"/>
      <c r="D353" s="249"/>
      <c r="E353" s="226">
        <v>2021</v>
      </c>
      <c r="F353" s="7">
        <f t="shared" si="64"/>
        <v>27543.5</v>
      </c>
      <c r="G353" s="7">
        <v>27543.5</v>
      </c>
      <c r="H353" s="7">
        <v>0</v>
      </c>
      <c r="I353" s="14"/>
      <c r="J353" s="14"/>
      <c r="K353" s="249"/>
      <c r="L353" s="99"/>
    </row>
    <row r="354" spans="1:32" ht="15" x14ac:dyDescent="0.25">
      <c r="A354" s="271"/>
      <c r="B354" s="321"/>
      <c r="C354" s="290"/>
      <c r="D354" s="249"/>
      <c r="E354" s="226">
        <v>2022</v>
      </c>
      <c r="F354" s="7">
        <f t="shared" si="64"/>
        <v>28016.1</v>
      </c>
      <c r="G354" s="7">
        <v>28016.1</v>
      </c>
      <c r="H354" s="7">
        <v>0</v>
      </c>
      <c r="I354" s="14"/>
      <c r="J354" s="14"/>
      <c r="K354" s="249"/>
      <c r="L354" s="99"/>
      <c r="M354" s="106"/>
      <c r="N354" s="99" t="s">
        <v>237</v>
      </c>
    </row>
    <row r="355" spans="1:32" ht="15" x14ac:dyDescent="0.25">
      <c r="A355" s="271"/>
      <c r="B355" s="321"/>
      <c r="C355" s="290"/>
      <c r="D355" s="249"/>
      <c r="E355" s="226">
        <v>2023</v>
      </c>
      <c r="F355" s="7">
        <f t="shared" si="64"/>
        <v>28016.1</v>
      </c>
      <c r="G355" s="7">
        <v>28016.1</v>
      </c>
      <c r="H355" s="7">
        <v>0</v>
      </c>
      <c r="I355" s="14"/>
      <c r="J355" s="14"/>
      <c r="K355" s="249"/>
      <c r="L355" s="99"/>
      <c r="M355" s="106"/>
      <c r="N355" s="99" t="s">
        <v>238</v>
      </c>
    </row>
    <row r="356" spans="1:32" ht="15" x14ac:dyDescent="0.25">
      <c r="A356" s="271"/>
      <c r="B356" s="321"/>
      <c r="C356" s="290"/>
      <c r="D356" s="249"/>
      <c r="E356" s="226">
        <v>2024</v>
      </c>
      <c r="F356" s="7">
        <f t="shared" ref="F356:F357" si="65">SUM(G356:J356)</f>
        <v>0</v>
      </c>
      <c r="G356" s="7">
        <v>0</v>
      </c>
      <c r="H356" s="7">
        <v>0</v>
      </c>
      <c r="I356" s="14"/>
      <c r="J356" s="14"/>
      <c r="K356" s="249"/>
      <c r="L356" s="99"/>
    </row>
    <row r="357" spans="1:32" ht="15" x14ac:dyDescent="0.25">
      <c r="A357" s="271"/>
      <c r="B357" s="321"/>
      <c r="C357" s="290"/>
      <c r="D357" s="249"/>
      <c r="E357" s="226">
        <v>2025</v>
      </c>
      <c r="F357" s="7">
        <f t="shared" si="65"/>
        <v>0</v>
      </c>
      <c r="G357" s="7">
        <v>0</v>
      </c>
      <c r="H357" s="7">
        <v>0</v>
      </c>
      <c r="I357" s="14"/>
      <c r="J357" s="14"/>
      <c r="K357" s="249"/>
      <c r="L357" s="99"/>
    </row>
    <row r="358" spans="1:32" ht="168.75" customHeight="1" x14ac:dyDescent="0.2">
      <c r="A358" s="271"/>
      <c r="B358" s="322"/>
      <c r="C358" s="282"/>
      <c r="D358" s="249"/>
      <c r="E358" s="18" t="s">
        <v>18</v>
      </c>
      <c r="F358" s="8">
        <f>SUM(F352:F357)</f>
        <v>93271.5</v>
      </c>
      <c r="G358" s="8">
        <f>SUM(G352:G357)</f>
        <v>93271.5</v>
      </c>
      <c r="H358" s="8">
        <f>SUM(H352:H357)</f>
        <v>0</v>
      </c>
      <c r="I358" s="13"/>
      <c r="J358" s="13"/>
      <c r="K358" s="250"/>
      <c r="L358" s="28"/>
      <c r="M358" s="28"/>
      <c r="N358" s="28"/>
      <c r="O358" s="28"/>
      <c r="P358" s="28"/>
      <c r="Q358" s="28"/>
      <c r="R358" s="28"/>
      <c r="S358" s="28"/>
      <c r="T358" s="28"/>
      <c r="U358" s="28"/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F358" s="28"/>
    </row>
    <row r="359" spans="1:32" x14ac:dyDescent="0.2">
      <c r="A359" s="418" t="s">
        <v>65</v>
      </c>
      <c r="B359" s="395"/>
      <c r="C359" s="395"/>
      <c r="D359" s="395"/>
      <c r="E359" s="395"/>
      <c r="F359" s="395"/>
      <c r="G359" s="395"/>
      <c r="H359" s="395"/>
      <c r="I359" s="395"/>
      <c r="J359" s="395"/>
      <c r="K359" s="395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  <c r="AC359" s="48"/>
      <c r="AD359" s="48"/>
      <c r="AE359" s="48"/>
      <c r="AF359" s="48"/>
    </row>
    <row r="360" spans="1:32" ht="15" x14ac:dyDescent="0.25">
      <c r="A360" s="307" t="s">
        <v>273</v>
      </c>
      <c r="B360" s="501" t="s">
        <v>204</v>
      </c>
      <c r="C360" s="276" t="s">
        <v>395</v>
      </c>
      <c r="D360" s="248" t="s">
        <v>449</v>
      </c>
      <c r="E360" s="208">
        <v>2015</v>
      </c>
      <c r="F360" s="143">
        <f t="shared" ref="F360:F365" si="66">SUM(H360:I360)</f>
        <v>23806.500000000004</v>
      </c>
      <c r="G360" s="143"/>
      <c r="H360" s="143">
        <f>25365.4-1504.8-54.1</f>
        <v>23806.500000000004</v>
      </c>
      <c r="I360" s="12"/>
      <c r="J360" s="12"/>
      <c r="K360" s="248" t="s">
        <v>138</v>
      </c>
    </row>
    <row r="361" spans="1:32" ht="15" x14ac:dyDescent="0.25">
      <c r="A361" s="305"/>
      <c r="B361" s="502"/>
      <c r="C361" s="290"/>
      <c r="D361" s="249"/>
      <c r="E361" s="222">
        <v>2016</v>
      </c>
      <c r="F361" s="7">
        <f t="shared" si="66"/>
        <v>12245.599999999999</v>
      </c>
      <c r="G361" s="7"/>
      <c r="H361" s="7">
        <f>12116.8-44.2+173</f>
        <v>12245.599999999999</v>
      </c>
      <c r="I361" s="14"/>
      <c r="J361" s="14"/>
      <c r="K361" s="249"/>
    </row>
    <row r="362" spans="1:32" ht="15" x14ac:dyDescent="0.25">
      <c r="A362" s="305"/>
      <c r="B362" s="502"/>
      <c r="C362" s="290"/>
      <c r="D362" s="249"/>
      <c r="E362" s="222">
        <v>2017</v>
      </c>
      <c r="F362" s="7">
        <f t="shared" si="66"/>
        <v>12314.3</v>
      </c>
      <c r="G362" s="7"/>
      <c r="H362" s="7">
        <f>12346-31.7</f>
        <v>12314.3</v>
      </c>
      <c r="I362" s="14"/>
      <c r="J362" s="14"/>
      <c r="K362" s="249"/>
      <c r="L362" s="99"/>
      <c r="N362" s="99" t="s">
        <v>240</v>
      </c>
    </row>
    <row r="363" spans="1:32" ht="15" x14ac:dyDescent="0.25">
      <c r="A363" s="305"/>
      <c r="B363" s="502"/>
      <c r="C363" s="290"/>
      <c r="D363" s="249"/>
      <c r="E363" s="222">
        <v>2018</v>
      </c>
      <c r="F363" s="7">
        <f t="shared" si="66"/>
        <v>12584</v>
      </c>
      <c r="G363" s="7"/>
      <c r="H363" s="7">
        <f>12692.3-108.3</f>
        <v>12584</v>
      </c>
      <c r="I363" s="14"/>
      <c r="J363" s="14"/>
      <c r="K363" s="249"/>
      <c r="N363" s="4" t="s">
        <v>232</v>
      </c>
    </row>
    <row r="364" spans="1:32" ht="15" x14ac:dyDescent="0.25">
      <c r="A364" s="305"/>
      <c r="B364" s="502"/>
      <c r="C364" s="290"/>
      <c r="D364" s="249"/>
      <c r="E364" s="222">
        <v>2019</v>
      </c>
      <c r="F364" s="7">
        <f t="shared" si="66"/>
        <v>14958.4</v>
      </c>
      <c r="G364" s="7"/>
      <c r="H364" s="7">
        <f>14736+222.4</f>
        <v>14958.4</v>
      </c>
      <c r="I364" s="14"/>
      <c r="J364" s="14"/>
      <c r="K364" s="249"/>
      <c r="N364" s="4" t="s">
        <v>232</v>
      </c>
    </row>
    <row r="365" spans="1:32" ht="15" x14ac:dyDescent="0.25">
      <c r="A365" s="305"/>
      <c r="B365" s="502"/>
      <c r="C365" s="290"/>
      <c r="D365" s="249"/>
      <c r="E365" s="222">
        <v>2020</v>
      </c>
      <c r="F365" s="7">
        <f t="shared" si="66"/>
        <v>11782.2</v>
      </c>
      <c r="G365" s="7"/>
      <c r="H365" s="7">
        <f>14736-264.8-2689</f>
        <v>11782.2</v>
      </c>
      <c r="I365" s="14"/>
      <c r="J365" s="14"/>
      <c r="K365" s="249"/>
    </row>
    <row r="366" spans="1:32" ht="15" x14ac:dyDescent="0.25">
      <c r="A366" s="306"/>
      <c r="B366" s="502"/>
      <c r="C366" s="290"/>
      <c r="D366" s="249"/>
      <c r="E366" s="222">
        <v>2021</v>
      </c>
      <c r="F366" s="7">
        <f t="shared" ref="F366:F370" si="67">SUM(H366:I366)</f>
        <v>13915.800000000001</v>
      </c>
      <c r="G366" s="7"/>
      <c r="H366" s="7">
        <f>14736-404.1+1159.2-1575.3</f>
        <v>13915.800000000001</v>
      </c>
      <c r="I366" s="14"/>
      <c r="J366" s="14"/>
      <c r="K366" s="249"/>
    </row>
    <row r="367" spans="1:32" ht="15" x14ac:dyDescent="0.25">
      <c r="A367" s="306"/>
      <c r="B367" s="502"/>
      <c r="C367" s="290"/>
      <c r="D367" s="249"/>
      <c r="E367" s="222">
        <v>2022</v>
      </c>
      <c r="F367" s="7">
        <f t="shared" si="67"/>
        <v>13915.8</v>
      </c>
      <c r="G367" s="7"/>
      <c r="H367" s="7">
        <f>16000-1787.7+328.2-624.7</f>
        <v>13915.8</v>
      </c>
      <c r="I367" s="14"/>
      <c r="J367" s="14"/>
      <c r="K367" s="249"/>
      <c r="L367" s="99"/>
      <c r="N367" s="99" t="s">
        <v>240</v>
      </c>
    </row>
    <row r="368" spans="1:32" ht="15" x14ac:dyDescent="0.25">
      <c r="A368" s="306"/>
      <c r="B368" s="502"/>
      <c r="C368" s="290"/>
      <c r="D368" s="249"/>
      <c r="E368" s="222">
        <v>2023</v>
      </c>
      <c r="F368" s="7">
        <f t="shared" si="67"/>
        <v>13915.8</v>
      </c>
      <c r="G368" s="7"/>
      <c r="H368" s="7">
        <f>16736-2820.2</f>
        <v>13915.8</v>
      </c>
      <c r="I368" s="14"/>
      <c r="J368" s="14"/>
      <c r="K368" s="249"/>
      <c r="N368" s="4" t="s">
        <v>232</v>
      </c>
    </row>
    <row r="369" spans="1:14" ht="15" x14ac:dyDescent="0.25">
      <c r="A369" s="306"/>
      <c r="B369" s="502"/>
      <c r="C369" s="290"/>
      <c r="D369" s="249"/>
      <c r="E369" s="222">
        <v>2024</v>
      </c>
      <c r="F369" s="7">
        <f t="shared" si="67"/>
        <v>17505.8</v>
      </c>
      <c r="G369" s="7"/>
      <c r="H369" s="7">
        <v>17505.8</v>
      </c>
      <c r="I369" s="14"/>
      <c r="J369" s="14"/>
      <c r="K369" s="249"/>
      <c r="N369" s="4" t="s">
        <v>232</v>
      </c>
    </row>
    <row r="370" spans="1:14" ht="15" x14ac:dyDescent="0.25">
      <c r="A370" s="306"/>
      <c r="B370" s="502"/>
      <c r="C370" s="290"/>
      <c r="D370" s="249"/>
      <c r="E370" s="222">
        <v>2025</v>
      </c>
      <c r="F370" s="7">
        <f t="shared" si="67"/>
        <v>18311</v>
      </c>
      <c r="G370" s="7"/>
      <c r="H370" s="7">
        <v>18311</v>
      </c>
      <c r="I370" s="14"/>
      <c r="J370" s="14"/>
      <c r="K370" s="249"/>
    </row>
    <row r="371" spans="1:14" ht="15" thickBot="1" x14ac:dyDescent="0.25">
      <c r="A371" s="306"/>
      <c r="B371" s="503"/>
      <c r="C371" s="282"/>
      <c r="D371" s="249"/>
      <c r="E371" s="18" t="s">
        <v>18</v>
      </c>
      <c r="F371" s="8">
        <f>SUM(F360:F370)</f>
        <v>165255.20000000001</v>
      </c>
      <c r="G371" s="8"/>
      <c r="H371" s="8">
        <f>SUM(H360:H370)</f>
        <v>165255.20000000001</v>
      </c>
      <c r="I371" s="13"/>
      <c r="J371" s="13"/>
      <c r="K371" s="250"/>
    </row>
    <row r="372" spans="1:14" ht="15" x14ac:dyDescent="0.25">
      <c r="A372" s="307" t="s">
        <v>72</v>
      </c>
      <c r="B372" s="501" t="s">
        <v>250</v>
      </c>
      <c r="C372" s="276" t="s">
        <v>396</v>
      </c>
      <c r="D372" s="248" t="s">
        <v>449</v>
      </c>
      <c r="E372" s="208">
        <v>2017</v>
      </c>
      <c r="F372" s="143">
        <f t="shared" ref="F372:F375" si="68">SUM(H372:I372)</f>
        <v>102.2</v>
      </c>
      <c r="G372" s="143"/>
      <c r="H372" s="143">
        <v>102.2</v>
      </c>
      <c r="I372" s="12"/>
      <c r="J372" s="12"/>
      <c r="K372" s="248" t="s">
        <v>138</v>
      </c>
      <c r="L372" s="99"/>
    </row>
    <row r="373" spans="1:14" ht="15" x14ac:dyDescent="0.25">
      <c r="A373" s="305"/>
      <c r="B373" s="502"/>
      <c r="C373" s="290"/>
      <c r="D373" s="249"/>
      <c r="E373" s="222">
        <v>2018</v>
      </c>
      <c r="F373" s="7">
        <f t="shared" si="68"/>
        <v>129.5</v>
      </c>
      <c r="G373" s="7"/>
      <c r="H373" s="7">
        <v>129.5</v>
      </c>
      <c r="I373" s="14"/>
      <c r="J373" s="14"/>
      <c r="K373" s="249"/>
    </row>
    <row r="374" spans="1:14" ht="15" x14ac:dyDescent="0.25">
      <c r="A374" s="305"/>
      <c r="B374" s="502"/>
      <c r="C374" s="290"/>
      <c r="D374" s="249"/>
      <c r="E374" s="222">
        <v>2019</v>
      </c>
      <c r="F374" s="7">
        <f t="shared" si="68"/>
        <v>61.3</v>
      </c>
      <c r="G374" s="7"/>
      <c r="H374" s="7">
        <f>46+15.3</f>
        <v>61.3</v>
      </c>
      <c r="I374" s="14"/>
      <c r="J374" s="14"/>
      <c r="K374" s="249"/>
      <c r="L374" s="99"/>
      <c r="N374" s="99" t="s">
        <v>240</v>
      </c>
    </row>
    <row r="375" spans="1:14" ht="15" x14ac:dyDescent="0.25">
      <c r="A375" s="305"/>
      <c r="B375" s="502"/>
      <c r="C375" s="290"/>
      <c r="D375" s="249"/>
      <c r="E375" s="222">
        <v>2020</v>
      </c>
      <c r="F375" s="7">
        <f t="shared" si="68"/>
        <v>102.2</v>
      </c>
      <c r="G375" s="7"/>
      <c r="H375" s="7">
        <f>46+56.2</f>
        <v>102.2</v>
      </c>
      <c r="I375" s="14"/>
      <c r="J375" s="14"/>
      <c r="K375" s="249"/>
      <c r="N375" s="4" t="s">
        <v>232</v>
      </c>
    </row>
    <row r="376" spans="1:14" ht="15" x14ac:dyDescent="0.25">
      <c r="A376" s="306"/>
      <c r="B376" s="502"/>
      <c r="C376" s="290"/>
      <c r="D376" s="249"/>
      <c r="E376" s="208">
        <v>2021</v>
      </c>
      <c r="F376" s="143">
        <f t="shared" ref="F376:F379" si="69">SUM(H376:I376)</f>
        <v>45.800000000000011</v>
      </c>
      <c r="G376" s="143"/>
      <c r="H376" s="143">
        <f>46+153.3-153.5</f>
        <v>45.800000000000011</v>
      </c>
      <c r="I376" s="12"/>
      <c r="J376" s="12"/>
      <c r="K376" s="249"/>
      <c r="L376" s="99"/>
    </row>
    <row r="377" spans="1:14" ht="15" x14ac:dyDescent="0.25">
      <c r="A377" s="306"/>
      <c r="B377" s="502"/>
      <c r="C377" s="290"/>
      <c r="D377" s="249"/>
      <c r="E377" s="222">
        <v>2022</v>
      </c>
      <c r="F377" s="7">
        <f t="shared" si="69"/>
        <v>45.799999999999983</v>
      </c>
      <c r="G377" s="7"/>
      <c r="H377" s="7">
        <f>48.3+125.4-127.9</f>
        <v>45.799999999999983</v>
      </c>
      <c r="I377" s="14"/>
      <c r="J377" s="14"/>
      <c r="K377" s="249"/>
    </row>
    <row r="378" spans="1:14" ht="15" x14ac:dyDescent="0.25">
      <c r="A378" s="306"/>
      <c r="B378" s="502"/>
      <c r="C378" s="290"/>
      <c r="D378" s="249"/>
      <c r="E378" s="222">
        <v>2023</v>
      </c>
      <c r="F378" s="7">
        <f t="shared" si="69"/>
        <v>45.8</v>
      </c>
      <c r="G378" s="7"/>
      <c r="H378" s="7">
        <f>50.5-4.7</f>
        <v>45.8</v>
      </c>
      <c r="I378" s="14"/>
      <c r="J378" s="14"/>
      <c r="K378" s="249"/>
      <c r="L378" s="99"/>
      <c r="N378" s="99" t="s">
        <v>240</v>
      </c>
    </row>
    <row r="379" spans="1:14" ht="15" x14ac:dyDescent="0.25">
      <c r="A379" s="306"/>
      <c r="B379" s="502"/>
      <c r="C379" s="290"/>
      <c r="D379" s="249"/>
      <c r="E379" s="222">
        <v>2024</v>
      </c>
      <c r="F379" s="7">
        <f t="shared" si="69"/>
        <v>52.8</v>
      </c>
      <c r="G379" s="7"/>
      <c r="H379" s="7">
        <v>52.8</v>
      </c>
      <c r="I379" s="14"/>
      <c r="J379" s="14"/>
      <c r="K379" s="249"/>
      <c r="N379" s="4" t="s">
        <v>232</v>
      </c>
    </row>
    <row r="380" spans="1:14" ht="15" x14ac:dyDescent="0.25">
      <c r="A380" s="306"/>
      <c r="B380" s="502"/>
      <c r="C380" s="290"/>
      <c r="D380" s="249"/>
      <c r="E380" s="222">
        <v>2025</v>
      </c>
      <c r="F380" s="7">
        <f t="shared" ref="F380" si="70">SUM(H380:I380)</f>
        <v>55.2</v>
      </c>
      <c r="G380" s="7"/>
      <c r="H380" s="7">
        <v>55.2</v>
      </c>
      <c r="I380" s="14"/>
      <c r="J380" s="14"/>
      <c r="K380" s="249"/>
      <c r="N380" s="4" t="s">
        <v>232</v>
      </c>
    </row>
    <row r="381" spans="1:14" ht="48" customHeight="1" thickBot="1" x14ac:dyDescent="0.25">
      <c r="A381" s="306"/>
      <c r="B381" s="503"/>
      <c r="C381" s="282"/>
      <c r="D381" s="249"/>
      <c r="E381" s="18" t="s">
        <v>18</v>
      </c>
      <c r="F381" s="8">
        <f>SUM(F372:F380)</f>
        <v>640.59999999999991</v>
      </c>
      <c r="G381" s="8"/>
      <c r="H381" s="8">
        <f>SUM(H372:H380)</f>
        <v>640.59999999999991</v>
      </c>
      <c r="I381" s="13"/>
      <c r="J381" s="13"/>
      <c r="K381" s="250"/>
    </row>
    <row r="382" spans="1:14" x14ac:dyDescent="0.2">
      <c r="A382" s="305" t="s">
        <v>119</v>
      </c>
      <c r="B382" s="504" t="s">
        <v>139</v>
      </c>
      <c r="C382" s="276" t="s">
        <v>61</v>
      </c>
      <c r="D382" s="248" t="s">
        <v>449</v>
      </c>
      <c r="E382" s="222">
        <v>2015</v>
      </c>
      <c r="F382" s="14"/>
      <c r="G382" s="14"/>
      <c r="H382" s="14"/>
      <c r="I382" s="14"/>
      <c r="J382" s="14"/>
      <c r="K382" s="248" t="s">
        <v>140</v>
      </c>
    </row>
    <row r="383" spans="1:14" x14ac:dyDescent="0.2">
      <c r="A383" s="305"/>
      <c r="B383" s="502"/>
      <c r="C383" s="290"/>
      <c r="D383" s="249"/>
      <c r="E383" s="222">
        <v>2016</v>
      </c>
      <c r="F383" s="14"/>
      <c r="G383" s="14"/>
      <c r="H383" s="14"/>
      <c r="I383" s="14"/>
      <c r="J383" s="14"/>
      <c r="K383" s="249"/>
    </row>
    <row r="384" spans="1:14" x14ac:dyDescent="0.2">
      <c r="A384" s="305"/>
      <c r="B384" s="502"/>
      <c r="C384" s="290"/>
      <c r="D384" s="249"/>
      <c r="E384" s="222">
        <v>2017</v>
      </c>
      <c r="F384" s="14"/>
      <c r="G384" s="14"/>
      <c r="H384" s="14"/>
      <c r="I384" s="14"/>
      <c r="J384" s="14"/>
      <c r="K384" s="249"/>
    </row>
    <row r="385" spans="1:32" x14ac:dyDescent="0.2">
      <c r="A385" s="305"/>
      <c r="B385" s="502"/>
      <c r="C385" s="290"/>
      <c r="D385" s="249"/>
      <c r="E385" s="222">
        <v>2018</v>
      </c>
      <c r="F385" s="14"/>
      <c r="G385" s="14"/>
      <c r="H385" s="14"/>
      <c r="I385" s="14"/>
      <c r="J385" s="14"/>
      <c r="K385" s="249"/>
    </row>
    <row r="386" spans="1:32" x14ac:dyDescent="0.2">
      <c r="A386" s="305"/>
      <c r="B386" s="502"/>
      <c r="C386" s="290"/>
      <c r="D386" s="249"/>
      <c r="E386" s="222">
        <v>2019</v>
      </c>
      <c r="F386" s="14"/>
      <c r="G386" s="14"/>
      <c r="H386" s="14"/>
      <c r="I386" s="14"/>
      <c r="J386" s="14"/>
      <c r="K386" s="249"/>
    </row>
    <row r="387" spans="1:32" x14ac:dyDescent="0.2">
      <c r="A387" s="305"/>
      <c r="B387" s="502"/>
      <c r="C387" s="290"/>
      <c r="D387" s="249"/>
      <c r="E387" s="222">
        <v>2020</v>
      </c>
      <c r="F387" s="14"/>
      <c r="G387" s="14"/>
      <c r="H387" s="14"/>
      <c r="I387" s="14"/>
      <c r="J387" s="14"/>
      <c r="K387" s="249"/>
    </row>
    <row r="388" spans="1:32" ht="13.5" thickBot="1" x14ac:dyDescent="0.25">
      <c r="A388" s="306"/>
      <c r="B388" s="502"/>
      <c r="C388" s="290"/>
      <c r="D388" s="249"/>
      <c r="E388" s="26" t="s">
        <v>18</v>
      </c>
      <c r="F388" s="22"/>
      <c r="G388" s="22"/>
      <c r="H388" s="22"/>
      <c r="I388" s="22"/>
      <c r="J388" s="22"/>
      <c r="K388" s="249"/>
    </row>
    <row r="389" spans="1:32" ht="15.75" thickBot="1" x14ac:dyDescent="0.25">
      <c r="A389" s="508" t="s">
        <v>196</v>
      </c>
      <c r="B389" s="509"/>
      <c r="C389" s="509"/>
      <c r="D389" s="509"/>
      <c r="E389" s="96"/>
      <c r="F389" s="148">
        <f>F341+F371+F381+F351+F358</f>
        <v>7119682.7000000002</v>
      </c>
      <c r="G389" s="148">
        <f>G358</f>
        <v>93271.5</v>
      </c>
      <c r="H389" s="148">
        <f>H341+H371+H381+H351+H388+H358</f>
        <v>6986907.9999999991</v>
      </c>
      <c r="I389" s="149">
        <f>I341+I371+I381+I351+I388</f>
        <v>39503.200000000004</v>
      </c>
      <c r="J389" s="97"/>
      <c r="K389" s="98"/>
      <c r="L389" s="126"/>
      <c r="M389" s="127"/>
    </row>
    <row r="390" spans="1:32" ht="16.5" customHeight="1" thickBot="1" x14ac:dyDescent="0.3">
      <c r="A390" s="367" t="s">
        <v>178</v>
      </c>
      <c r="B390" s="368"/>
      <c r="C390" s="368"/>
      <c r="D390" s="368"/>
      <c r="E390" s="368"/>
      <c r="F390" s="368"/>
      <c r="G390" s="368"/>
      <c r="H390" s="368"/>
      <c r="I390" s="368"/>
      <c r="J390" s="368"/>
      <c r="K390" s="368"/>
      <c r="L390" s="87"/>
      <c r="M390" s="87"/>
      <c r="N390" s="87"/>
      <c r="O390" s="87"/>
      <c r="P390" s="87"/>
      <c r="Q390" s="87"/>
      <c r="R390" s="87"/>
      <c r="S390" s="87"/>
      <c r="T390" s="87"/>
      <c r="U390" s="87"/>
      <c r="V390" s="87"/>
      <c r="W390" s="87"/>
      <c r="X390" s="87"/>
      <c r="Y390" s="87"/>
      <c r="Z390" s="87"/>
      <c r="AA390" s="87"/>
      <c r="AB390" s="87"/>
      <c r="AC390" s="87"/>
      <c r="AD390" s="87"/>
      <c r="AE390" s="87"/>
      <c r="AF390" s="88"/>
    </row>
    <row r="391" spans="1:32" ht="135" customHeight="1" thickBot="1" x14ac:dyDescent="0.25">
      <c r="A391" s="510" t="s">
        <v>66</v>
      </c>
      <c r="B391" s="511"/>
      <c r="C391" s="511"/>
      <c r="D391" s="511"/>
      <c r="E391" s="511"/>
      <c r="F391" s="511"/>
      <c r="G391" s="511"/>
      <c r="H391" s="511"/>
      <c r="I391" s="511"/>
      <c r="J391" s="511"/>
      <c r="K391" s="512"/>
    </row>
    <row r="392" spans="1:32" ht="15" x14ac:dyDescent="0.25">
      <c r="A392" s="305" t="s">
        <v>90</v>
      </c>
      <c r="B392" s="504" t="s">
        <v>222</v>
      </c>
      <c r="C392" s="276" t="s">
        <v>395</v>
      </c>
      <c r="D392" s="248" t="s">
        <v>449</v>
      </c>
      <c r="E392" s="222">
        <v>2015</v>
      </c>
      <c r="F392" s="7">
        <f>SUM(G392:I392)</f>
        <v>29177</v>
      </c>
      <c r="G392" s="7"/>
      <c r="H392" s="7">
        <f>25777+3400</f>
        <v>29177</v>
      </c>
      <c r="I392" s="14"/>
      <c r="J392" s="14"/>
      <c r="K392" s="248" t="s">
        <v>141</v>
      </c>
    </row>
    <row r="393" spans="1:32" ht="15" x14ac:dyDescent="0.25">
      <c r="A393" s="305"/>
      <c r="B393" s="505"/>
      <c r="C393" s="290"/>
      <c r="D393" s="249"/>
      <c r="E393" s="222">
        <v>2016</v>
      </c>
      <c r="F393" s="7">
        <f t="shared" ref="F393:F402" si="71">SUM(G393:I393)</f>
        <v>31021</v>
      </c>
      <c r="G393" s="7"/>
      <c r="H393" s="7">
        <f>32323-1302</f>
        <v>31021</v>
      </c>
      <c r="I393" s="14"/>
      <c r="J393" s="14"/>
      <c r="K393" s="249"/>
      <c r="L393" s="99"/>
    </row>
    <row r="394" spans="1:32" ht="15" x14ac:dyDescent="0.25">
      <c r="A394" s="305"/>
      <c r="B394" s="505"/>
      <c r="C394" s="290"/>
      <c r="D394" s="249"/>
      <c r="E394" s="222">
        <v>2017</v>
      </c>
      <c r="F394" s="7">
        <f t="shared" si="71"/>
        <v>29945.1</v>
      </c>
      <c r="G394" s="7"/>
      <c r="H394" s="7">
        <f>31493.1-1548</f>
        <v>29945.1</v>
      </c>
      <c r="I394" s="14"/>
      <c r="J394" s="14"/>
      <c r="K394" s="249"/>
      <c r="L394" s="99"/>
    </row>
    <row r="395" spans="1:32" ht="15" x14ac:dyDescent="0.25">
      <c r="A395" s="305"/>
      <c r="B395" s="505"/>
      <c r="C395" s="290"/>
      <c r="D395" s="249"/>
      <c r="E395" s="222">
        <v>2018</v>
      </c>
      <c r="F395" s="7">
        <f t="shared" si="71"/>
        <v>33455.799999999996</v>
      </c>
      <c r="G395" s="7"/>
      <c r="H395" s="7">
        <f>33846.7-390.9</f>
        <v>33455.799999999996</v>
      </c>
      <c r="I395" s="14"/>
      <c r="J395" s="14"/>
      <c r="K395" s="249"/>
      <c r="L395" s="99" t="s">
        <v>349</v>
      </c>
      <c r="M395" s="99" t="s">
        <v>350</v>
      </c>
      <c r="N395" s="106"/>
    </row>
    <row r="396" spans="1:32" ht="15" x14ac:dyDescent="0.25">
      <c r="A396" s="305"/>
      <c r="B396" s="505"/>
      <c r="C396" s="290"/>
      <c r="D396" s="249"/>
      <c r="E396" s="222">
        <v>2019</v>
      </c>
      <c r="F396" s="7">
        <f t="shared" si="71"/>
        <v>43370.7</v>
      </c>
      <c r="G396" s="7"/>
      <c r="H396" s="7">
        <f>38793+3168.7</f>
        <v>41961.7</v>
      </c>
      <c r="I396" s="7">
        <f>1710-301</f>
        <v>1409</v>
      </c>
      <c r="J396" s="14"/>
      <c r="K396" s="249"/>
      <c r="N396" s="106"/>
    </row>
    <row r="397" spans="1:32" ht="15" x14ac:dyDescent="0.25">
      <c r="A397" s="305"/>
      <c r="B397" s="505"/>
      <c r="C397" s="290"/>
      <c r="D397" s="249"/>
      <c r="E397" s="222">
        <v>2020</v>
      </c>
      <c r="F397" s="7">
        <f t="shared" si="71"/>
        <v>46964.899999999994</v>
      </c>
      <c r="G397" s="7"/>
      <c r="H397" s="7">
        <f>41914.1-1550.4+5333.7</f>
        <v>45697.399999999994</v>
      </c>
      <c r="I397" s="7">
        <f>1710-29.9-412.6</f>
        <v>1267.5</v>
      </c>
      <c r="J397" s="14"/>
      <c r="K397" s="249"/>
      <c r="N397" s="28"/>
    </row>
    <row r="398" spans="1:32" ht="15" x14ac:dyDescent="0.25">
      <c r="A398" s="306"/>
      <c r="B398" s="505"/>
      <c r="C398" s="290"/>
      <c r="D398" s="249"/>
      <c r="E398" s="222">
        <v>2021</v>
      </c>
      <c r="F398" s="7">
        <f t="shared" si="71"/>
        <v>34348</v>
      </c>
      <c r="G398" s="7"/>
      <c r="H398" s="7">
        <f>44735.8-589.6-11461.2</f>
        <v>32685.000000000004</v>
      </c>
      <c r="I398" s="7">
        <f>1710+90.1-137.1</f>
        <v>1663</v>
      </c>
      <c r="J398" s="14"/>
      <c r="K398" s="249"/>
      <c r="L398" s="99"/>
    </row>
    <row r="399" spans="1:32" ht="15" x14ac:dyDescent="0.25">
      <c r="A399" s="306"/>
      <c r="B399" s="505"/>
      <c r="C399" s="290"/>
      <c r="D399" s="249"/>
      <c r="E399" s="222">
        <v>2022</v>
      </c>
      <c r="F399" s="7">
        <f t="shared" si="71"/>
        <v>39174</v>
      </c>
      <c r="G399" s="7"/>
      <c r="H399" s="7">
        <f>51000-8633.9-5006.1</f>
        <v>37360</v>
      </c>
      <c r="I399" s="7">
        <f>1572+242</f>
        <v>1814</v>
      </c>
      <c r="J399" s="14"/>
      <c r="K399" s="249"/>
      <c r="L399" s="99"/>
    </row>
    <row r="400" spans="1:32" ht="15" x14ac:dyDescent="0.25">
      <c r="A400" s="306"/>
      <c r="B400" s="505"/>
      <c r="C400" s="290"/>
      <c r="D400" s="249"/>
      <c r="E400" s="222">
        <v>2023</v>
      </c>
      <c r="F400" s="7">
        <f t="shared" si="71"/>
        <v>38863</v>
      </c>
      <c r="G400" s="7"/>
      <c r="H400" s="7">
        <f>53346-16116</f>
        <v>37230</v>
      </c>
      <c r="I400" s="7">
        <v>1633</v>
      </c>
      <c r="J400" s="14"/>
      <c r="K400" s="249"/>
      <c r="L400" s="99" t="s">
        <v>349</v>
      </c>
      <c r="M400" s="99" t="s">
        <v>350</v>
      </c>
      <c r="N400" s="106"/>
    </row>
    <row r="401" spans="1:14" ht="15" x14ac:dyDescent="0.25">
      <c r="A401" s="306"/>
      <c r="B401" s="505"/>
      <c r="C401" s="290"/>
      <c r="D401" s="249"/>
      <c r="E401" s="222">
        <v>2024</v>
      </c>
      <c r="F401" s="7">
        <f t="shared" si="71"/>
        <v>55800</v>
      </c>
      <c r="G401" s="7"/>
      <c r="H401" s="7">
        <v>55800</v>
      </c>
      <c r="I401" s="7">
        <v>0</v>
      </c>
      <c r="J401" s="14"/>
      <c r="K401" s="249"/>
      <c r="N401" s="106"/>
    </row>
    <row r="402" spans="1:14" ht="15" x14ac:dyDescent="0.25">
      <c r="A402" s="306"/>
      <c r="B402" s="505"/>
      <c r="C402" s="290"/>
      <c r="D402" s="249"/>
      <c r="E402" s="222">
        <v>2025</v>
      </c>
      <c r="F402" s="7">
        <f t="shared" si="71"/>
        <v>58367</v>
      </c>
      <c r="G402" s="7"/>
      <c r="H402" s="7">
        <v>58367</v>
      </c>
      <c r="I402" s="7">
        <v>0</v>
      </c>
      <c r="J402" s="14"/>
      <c r="K402" s="249"/>
      <c r="N402" s="28"/>
    </row>
    <row r="403" spans="1:14" ht="42.75" customHeight="1" x14ac:dyDescent="0.2">
      <c r="A403" s="306"/>
      <c r="B403" s="505"/>
      <c r="C403" s="282"/>
      <c r="D403" s="249"/>
      <c r="E403" s="18" t="s">
        <v>18</v>
      </c>
      <c r="F403" s="8">
        <f>SUM(F392:F402)</f>
        <v>440486.5</v>
      </c>
      <c r="G403" s="8"/>
      <c r="H403" s="8">
        <f>SUM(H392:H402)</f>
        <v>432700</v>
      </c>
      <c r="I403" s="8">
        <f>SUM(I392:I402)</f>
        <v>7786.5</v>
      </c>
      <c r="J403" s="13"/>
      <c r="K403" s="250"/>
    </row>
    <row r="404" spans="1:14" ht="15" x14ac:dyDescent="0.25">
      <c r="A404" s="271" t="s">
        <v>67</v>
      </c>
      <c r="B404" s="273" t="s">
        <v>127</v>
      </c>
      <c r="C404" s="276" t="s">
        <v>397</v>
      </c>
      <c r="D404" s="248" t="s">
        <v>449</v>
      </c>
      <c r="E404" s="222">
        <v>2015</v>
      </c>
      <c r="F404" s="7">
        <f t="shared" ref="F404:F409" si="72">SUM(G404:I404)</f>
        <v>470.20000000000005</v>
      </c>
      <c r="G404" s="7"/>
      <c r="H404" s="7">
        <f>416.1+54.1</f>
        <v>470.20000000000005</v>
      </c>
      <c r="I404" s="7"/>
      <c r="J404" s="14"/>
      <c r="K404" s="363" t="s">
        <v>141</v>
      </c>
    </row>
    <row r="405" spans="1:14" ht="15" x14ac:dyDescent="0.25">
      <c r="A405" s="271"/>
      <c r="B405" s="274"/>
      <c r="C405" s="261"/>
      <c r="D405" s="249"/>
      <c r="E405" s="222">
        <v>2016</v>
      </c>
      <c r="F405" s="7">
        <f t="shared" si="72"/>
        <v>305.39999999999998</v>
      </c>
      <c r="G405" s="7"/>
      <c r="H405" s="7">
        <f>261.2+44.2</f>
        <v>305.39999999999998</v>
      </c>
      <c r="I405" s="7"/>
      <c r="J405" s="14"/>
      <c r="K405" s="364"/>
    </row>
    <row r="406" spans="1:14" ht="15" x14ac:dyDescent="0.25">
      <c r="A406" s="271"/>
      <c r="B406" s="274"/>
      <c r="C406" s="261"/>
      <c r="D406" s="249"/>
      <c r="E406" s="222">
        <v>2017</v>
      </c>
      <c r="F406" s="7">
        <f t="shared" si="72"/>
        <v>454</v>
      </c>
      <c r="G406" s="7"/>
      <c r="H406" s="7">
        <v>454</v>
      </c>
      <c r="I406" s="7"/>
      <c r="J406" s="14"/>
      <c r="K406" s="364"/>
      <c r="L406" s="99"/>
      <c r="M406" s="107"/>
    </row>
    <row r="407" spans="1:14" ht="15" x14ac:dyDescent="0.25">
      <c r="A407" s="271"/>
      <c r="B407" s="274"/>
      <c r="C407" s="261"/>
      <c r="D407" s="249"/>
      <c r="E407" s="222">
        <v>2018</v>
      </c>
      <c r="F407" s="7">
        <f t="shared" si="72"/>
        <v>494</v>
      </c>
      <c r="G407" s="7"/>
      <c r="H407" s="7">
        <v>494</v>
      </c>
      <c r="I407" s="7"/>
      <c r="J407" s="14"/>
      <c r="K407" s="364"/>
      <c r="N407" s="106"/>
    </row>
    <row r="408" spans="1:14" ht="15" x14ac:dyDescent="0.25">
      <c r="A408" s="271"/>
      <c r="B408" s="274"/>
      <c r="C408" s="261"/>
      <c r="D408" s="249"/>
      <c r="E408" s="222">
        <v>2019</v>
      </c>
      <c r="F408" s="7">
        <f t="shared" ref="F408" si="73">SUM(G408:I408)</f>
        <v>368</v>
      </c>
      <c r="G408" s="7"/>
      <c r="H408" s="7">
        <f>369.8-1.8</f>
        <v>368</v>
      </c>
      <c r="I408" s="7"/>
      <c r="J408" s="14"/>
      <c r="K408" s="364"/>
      <c r="N408" s="106"/>
    </row>
    <row r="409" spans="1:14" ht="15" x14ac:dyDescent="0.25">
      <c r="A409" s="271"/>
      <c r="B409" s="274"/>
      <c r="C409" s="261"/>
      <c r="D409" s="249"/>
      <c r="E409" s="222">
        <v>2020</v>
      </c>
      <c r="F409" s="7">
        <f t="shared" si="72"/>
        <v>353.6</v>
      </c>
      <c r="G409" s="7"/>
      <c r="H409" s="7">
        <f>369.8-0.2-16</f>
        <v>353.6</v>
      </c>
      <c r="I409" s="7"/>
      <c r="J409" s="14"/>
      <c r="K409" s="364"/>
    </row>
    <row r="410" spans="1:14" ht="15" x14ac:dyDescent="0.25">
      <c r="A410" s="271"/>
      <c r="B410" s="275"/>
      <c r="C410" s="261"/>
      <c r="D410" s="249"/>
      <c r="E410" s="222">
        <v>2021</v>
      </c>
      <c r="F410" s="7">
        <f t="shared" ref="F410:F412" si="74">SUM(G410:I410)</f>
        <v>391.20000000000005</v>
      </c>
      <c r="G410" s="7"/>
      <c r="H410" s="7">
        <f>369.8+24.6-3.2</f>
        <v>391.20000000000005</v>
      </c>
      <c r="I410" s="7"/>
      <c r="J410" s="14"/>
      <c r="K410" s="364"/>
    </row>
    <row r="411" spans="1:14" ht="15" x14ac:dyDescent="0.25">
      <c r="A411" s="271"/>
      <c r="B411" s="275"/>
      <c r="C411" s="261"/>
      <c r="D411" s="249"/>
      <c r="E411" s="222">
        <v>2022</v>
      </c>
      <c r="F411" s="7">
        <f t="shared" si="74"/>
        <v>391.2</v>
      </c>
      <c r="G411" s="7"/>
      <c r="H411" s="7">
        <f>400-28.8+20</f>
        <v>391.2</v>
      </c>
      <c r="I411" s="7"/>
      <c r="J411" s="14"/>
      <c r="K411" s="364"/>
      <c r="L411" s="99"/>
      <c r="M411" s="107"/>
    </row>
    <row r="412" spans="1:14" ht="15" x14ac:dyDescent="0.25">
      <c r="A412" s="271"/>
      <c r="B412" s="275"/>
      <c r="C412" s="261"/>
      <c r="D412" s="249"/>
      <c r="E412" s="222">
        <v>2023</v>
      </c>
      <c r="F412" s="7">
        <f t="shared" si="74"/>
        <v>391.2</v>
      </c>
      <c r="G412" s="7"/>
      <c r="H412" s="7">
        <f>418-26.8</f>
        <v>391.2</v>
      </c>
      <c r="I412" s="7"/>
      <c r="J412" s="14"/>
      <c r="K412" s="364"/>
      <c r="N412" s="106"/>
    </row>
    <row r="413" spans="1:14" ht="15" x14ac:dyDescent="0.25">
      <c r="A413" s="271"/>
      <c r="B413" s="275"/>
      <c r="C413" s="261"/>
      <c r="D413" s="249"/>
      <c r="E413" s="222">
        <v>2024</v>
      </c>
      <c r="F413" s="7">
        <f t="shared" ref="F413" si="75">SUM(G413:I413)</f>
        <v>437</v>
      </c>
      <c r="G413" s="7"/>
      <c r="H413" s="7">
        <v>437</v>
      </c>
      <c r="I413" s="7"/>
      <c r="J413" s="14"/>
      <c r="K413" s="364"/>
      <c r="N413" s="106"/>
    </row>
    <row r="414" spans="1:14" ht="15" x14ac:dyDescent="0.25">
      <c r="A414" s="271"/>
      <c r="B414" s="275"/>
      <c r="C414" s="261"/>
      <c r="D414" s="249"/>
      <c r="E414" s="222">
        <v>2025</v>
      </c>
      <c r="F414" s="7">
        <f t="shared" ref="F414" si="76">SUM(G414:I414)</f>
        <v>457</v>
      </c>
      <c r="G414" s="7"/>
      <c r="H414" s="7">
        <v>457</v>
      </c>
      <c r="I414" s="7"/>
      <c r="J414" s="14"/>
      <c r="K414" s="364"/>
    </row>
    <row r="415" spans="1:14" ht="15" x14ac:dyDescent="0.25">
      <c r="A415" s="271"/>
      <c r="B415" s="275"/>
      <c r="C415" s="277"/>
      <c r="D415" s="249"/>
      <c r="E415" s="18" t="s">
        <v>18</v>
      </c>
      <c r="F415" s="8">
        <f>SUM(F404:F414)</f>
        <v>4512.7999999999993</v>
      </c>
      <c r="G415" s="8"/>
      <c r="H415" s="8">
        <f>SUM(H404:H414)</f>
        <v>4512.7999999999993</v>
      </c>
      <c r="I415" s="7"/>
      <c r="J415" s="14"/>
      <c r="K415" s="365"/>
    </row>
    <row r="416" spans="1:14" ht="15" x14ac:dyDescent="0.25">
      <c r="A416" s="271" t="s">
        <v>274</v>
      </c>
      <c r="B416" s="273" t="s">
        <v>125</v>
      </c>
      <c r="C416" s="276" t="s">
        <v>68</v>
      </c>
      <c r="D416" s="248" t="s">
        <v>449</v>
      </c>
      <c r="E416" s="222">
        <v>2015</v>
      </c>
      <c r="F416" s="7">
        <f t="shared" ref="F416:F421" si="77">SUM(G416:J416)</f>
        <v>5042</v>
      </c>
      <c r="G416" s="7"/>
      <c r="H416" s="7">
        <v>4991.6000000000004</v>
      </c>
      <c r="I416" s="7">
        <v>50.4</v>
      </c>
      <c r="J416" s="14"/>
      <c r="K416" s="248" t="s">
        <v>141</v>
      </c>
    </row>
    <row r="417" spans="1:22" ht="15" x14ac:dyDescent="0.25">
      <c r="A417" s="271"/>
      <c r="B417" s="274"/>
      <c r="C417" s="261"/>
      <c r="D417" s="249"/>
      <c r="E417" s="222">
        <v>2016</v>
      </c>
      <c r="F417" s="7">
        <f t="shared" si="77"/>
        <v>0</v>
      </c>
      <c r="G417" s="7"/>
      <c r="H417" s="7"/>
      <c r="I417" s="7"/>
      <c r="J417" s="14"/>
      <c r="K417" s="249"/>
    </row>
    <row r="418" spans="1:22" ht="15" x14ac:dyDescent="0.25">
      <c r="A418" s="271"/>
      <c r="B418" s="274"/>
      <c r="C418" s="261"/>
      <c r="D418" s="249"/>
      <c r="E418" s="222">
        <v>2017</v>
      </c>
      <c r="F418" s="7">
        <f t="shared" si="77"/>
        <v>0</v>
      </c>
      <c r="G418" s="7"/>
      <c r="H418" s="7"/>
      <c r="I418" s="7"/>
      <c r="J418" s="14"/>
      <c r="K418" s="249"/>
      <c r="L418" s="99"/>
    </row>
    <row r="419" spans="1:22" ht="15" x14ac:dyDescent="0.25">
      <c r="A419" s="271"/>
      <c r="B419" s="274"/>
      <c r="C419" s="261"/>
      <c r="D419" s="249"/>
      <c r="E419" s="222">
        <v>2018</v>
      </c>
      <c r="F419" s="7">
        <f t="shared" si="77"/>
        <v>0</v>
      </c>
      <c r="G419" s="7"/>
      <c r="H419" s="7"/>
      <c r="I419" s="7"/>
      <c r="J419" s="14"/>
      <c r="K419" s="249"/>
      <c r="L419" s="99"/>
    </row>
    <row r="420" spans="1:22" ht="15" x14ac:dyDescent="0.25">
      <c r="A420" s="271"/>
      <c r="B420" s="274"/>
      <c r="C420" s="261"/>
      <c r="D420" s="249"/>
      <c r="E420" s="222">
        <v>2019</v>
      </c>
      <c r="F420" s="7">
        <f t="shared" si="77"/>
        <v>0</v>
      </c>
      <c r="G420" s="7"/>
      <c r="H420" s="7"/>
      <c r="I420" s="7"/>
      <c r="J420" s="14"/>
      <c r="K420" s="249"/>
    </row>
    <row r="421" spans="1:22" ht="15" x14ac:dyDescent="0.25">
      <c r="A421" s="271"/>
      <c r="B421" s="274"/>
      <c r="C421" s="261"/>
      <c r="D421" s="249"/>
      <c r="E421" s="222">
        <v>2020</v>
      </c>
      <c r="F421" s="7">
        <f t="shared" si="77"/>
        <v>0</v>
      </c>
      <c r="G421" s="7"/>
      <c r="H421" s="7"/>
      <c r="I421" s="7"/>
      <c r="J421" s="14"/>
      <c r="K421" s="249"/>
    </row>
    <row r="422" spans="1:22" ht="45" customHeight="1" x14ac:dyDescent="0.2">
      <c r="A422" s="271"/>
      <c r="B422" s="274"/>
      <c r="C422" s="277"/>
      <c r="D422" s="249"/>
      <c r="E422" s="18" t="s">
        <v>18</v>
      </c>
      <c r="F422" s="9">
        <f>SUM(F416:F421)</f>
        <v>5042</v>
      </c>
      <c r="G422" s="9"/>
      <c r="H422" s="9">
        <f>SUM(H416:H421)</f>
        <v>4991.6000000000004</v>
      </c>
      <c r="I422" s="9">
        <f>SUM(I416:I421)</f>
        <v>50.4</v>
      </c>
      <c r="J422" s="44"/>
      <c r="K422" s="250"/>
    </row>
    <row r="423" spans="1:22" ht="12.75" customHeight="1" x14ac:dyDescent="0.25">
      <c r="A423" s="307" t="s">
        <v>128</v>
      </c>
      <c r="B423" s="258" t="s">
        <v>295</v>
      </c>
      <c r="C423" s="276" t="s">
        <v>397</v>
      </c>
      <c r="D423" s="248" t="s">
        <v>449</v>
      </c>
      <c r="E423" s="222">
        <v>2015</v>
      </c>
      <c r="F423" s="7">
        <f t="shared" ref="F423:F428" si="78">SUM(G423:J423)</f>
        <v>0</v>
      </c>
      <c r="G423" s="7"/>
      <c r="H423" s="7"/>
      <c r="I423" s="7">
        <v>0</v>
      </c>
      <c r="J423" s="14"/>
      <c r="K423" s="248" t="s">
        <v>142</v>
      </c>
    </row>
    <row r="424" spans="1:22" ht="12.75" customHeight="1" x14ac:dyDescent="0.25">
      <c r="A424" s="305"/>
      <c r="B424" s="283"/>
      <c r="C424" s="261"/>
      <c r="D424" s="249"/>
      <c r="E424" s="222">
        <v>2016</v>
      </c>
      <c r="F424" s="7">
        <f t="shared" si="78"/>
        <v>2152.1</v>
      </c>
      <c r="G424" s="7"/>
      <c r="H424" s="7"/>
      <c r="I424" s="7">
        <f>2194.1-42</f>
        <v>2152.1</v>
      </c>
      <c r="J424" s="14"/>
      <c r="K424" s="249"/>
      <c r="L424" s="99"/>
    </row>
    <row r="425" spans="1:22" ht="12.75" customHeight="1" x14ac:dyDescent="0.25">
      <c r="A425" s="305"/>
      <c r="B425" s="283"/>
      <c r="C425" s="261"/>
      <c r="D425" s="249"/>
      <c r="E425" s="222">
        <v>2017</v>
      </c>
      <c r="F425" s="7">
        <f t="shared" si="78"/>
        <v>6504.1</v>
      </c>
      <c r="G425" s="7"/>
      <c r="H425" s="7"/>
      <c r="I425" s="7">
        <f>1996.4+4505.7+2</f>
        <v>6504.1</v>
      </c>
      <c r="J425" s="14"/>
      <c r="K425" s="249"/>
      <c r="L425" s="99" t="s">
        <v>352</v>
      </c>
      <c r="M425" s="125" t="s">
        <v>333</v>
      </c>
      <c r="N425" s="109"/>
      <c r="O425" s="121">
        <v>2589.1999999999998</v>
      </c>
      <c r="P425" s="109"/>
      <c r="Q425" s="121" t="s">
        <v>334</v>
      </c>
      <c r="R425" s="109"/>
      <c r="S425" s="109"/>
      <c r="T425" s="112">
        <v>1596.5</v>
      </c>
      <c r="U425" s="121" t="s">
        <v>335</v>
      </c>
      <c r="V425" s="112"/>
    </row>
    <row r="426" spans="1:22" ht="12.75" customHeight="1" x14ac:dyDescent="0.25">
      <c r="A426" s="305"/>
      <c r="B426" s="283"/>
      <c r="C426" s="261"/>
      <c r="D426" s="249"/>
      <c r="E426" s="222">
        <v>2018</v>
      </c>
      <c r="F426" s="7">
        <f t="shared" si="78"/>
        <v>7185.9000000000005</v>
      </c>
      <c r="G426" s="7"/>
      <c r="H426" s="7"/>
      <c r="I426" s="7">
        <f>6972.3+213.6</f>
        <v>7185.9000000000005</v>
      </c>
      <c r="J426" s="14"/>
      <c r="K426" s="249"/>
      <c r="L426" s="99"/>
    </row>
    <row r="427" spans="1:22" ht="12.75" customHeight="1" x14ac:dyDescent="0.25">
      <c r="A427" s="305"/>
      <c r="B427" s="283"/>
      <c r="C427" s="261"/>
      <c r="D427" s="249"/>
      <c r="E427" s="222">
        <v>2019</v>
      </c>
      <c r="F427" s="7">
        <f t="shared" si="78"/>
        <v>5970.7</v>
      </c>
      <c r="G427" s="7"/>
      <c r="H427" s="7"/>
      <c r="I427" s="7">
        <f>6782.5+718.5-2009.1+478.8</f>
        <v>5970.7</v>
      </c>
      <c r="J427" s="14"/>
      <c r="K427" s="249"/>
    </row>
    <row r="428" spans="1:22" ht="12.75" customHeight="1" x14ac:dyDescent="0.25">
      <c r="A428" s="305"/>
      <c r="B428" s="283"/>
      <c r="C428" s="261"/>
      <c r="D428" s="249"/>
      <c r="E428" s="222">
        <v>2020</v>
      </c>
      <c r="F428" s="7">
        <f t="shared" si="78"/>
        <v>5969.5</v>
      </c>
      <c r="G428" s="7"/>
      <c r="H428" s="7"/>
      <c r="I428" s="7">
        <f>3677.5-3659.9+6248.8-296.9</f>
        <v>5969.5</v>
      </c>
      <c r="J428" s="14"/>
      <c r="K428" s="249"/>
    </row>
    <row r="429" spans="1:22" ht="12.75" customHeight="1" x14ac:dyDescent="0.25">
      <c r="A429" s="306"/>
      <c r="B429" s="289"/>
      <c r="C429" s="261"/>
      <c r="D429" s="249"/>
      <c r="E429" s="222">
        <v>2021</v>
      </c>
      <c r="F429" s="7">
        <f t="shared" ref="F429:F433" si="79">SUM(G429:J429)</f>
        <v>7083.6</v>
      </c>
      <c r="G429" s="7"/>
      <c r="H429" s="7"/>
      <c r="I429" s="7">
        <f>2083.1-2083.1+840.4+1945.7+4297.5</f>
        <v>7083.6</v>
      </c>
      <c r="J429" s="14"/>
      <c r="K429" s="249"/>
      <c r="L429" s="99"/>
    </row>
    <row r="430" spans="1:22" ht="12.75" customHeight="1" x14ac:dyDescent="0.25">
      <c r="A430" s="306"/>
      <c r="B430" s="289"/>
      <c r="C430" s="261"/>
      <c r="D430" s="249"/>
      <c r="E430" s="222">
        <v>2022</v>
      </c>
      <c r="F430" s="7">
        <f t="shared" si="79"/>
        <v>1795.9</v>
      </c>
      <c r="G430" s="7"/>
      <c r="H430" s="7"/>
      <c r="I430" s="7">
        <v>1795.9</v>
      </c>
      <c r="J430" s="14"/>
      <c r="K430" s="249"/>
      <c r="L430" s="99" t="s">
        <v>352</v>
      </c>
      <c r="M430" s="125" t="s">
        <v>333</v>
      </c>
      <c r="N430" s="109"/>
      <c r="O430" s="121">
        <v>2589.1999999999998</v>
      </c>
      <c r="P430" s="109"/>
      <c r="Q430" s="121" t="s">
        <v>334</v>
      </c>
      <c r="R430" s="109"/>
      <c r="S430" s="109"/>
      <c r="T430" s="112">
        <v>1596.5</v>
      </c>
      <c r="U430" s="121" t="s">
        <v>335</v>
      </c>
      <c r="V430" s="112"/>
    </row>
    <row r="431" spans="1:22" ht="12.75" customHeight="1" x14ac:dyDescent="0.25">
      <c r="A431" s="306"/>
      <c r="B431" s="289"/>
      <c r="C431" s="261"/>
      <c r="D431" s="249"/>
      <c r="E431" s="222">
        <v>2023</v>
      </c>
      <c r="F431" s="7">
        <f t="shared" si="79"/>
        <v>712</v>
      </c>
      <c r="G431" s="7"/>
      <c r="H431" s="7"/>
      <c r="I431" s="7">
        <f>2253-1541</f>
        <v>712</v>
      </c>
      <c r="J431" s="14"/>
      <c r="K431" s="249"/>
      <c r="L431" s="99"/>
    </row>
    <row r="432" spans="1:22" ht="12.75" customHeight="1" x14ac:dyDescent="0.25">
      <c r="A432" s="306"/>
      <c r="B432" s="289"/>
      <c r="C432" s="261"/>
      <c r="D432" s="249"/>
      <c r="E432" s="222">
        <v>2024</v>
      </c>
      <c r="F432" s="7">
        <f t="shared" si="79"/>
        <v>2343</v>
      </c>
      <c r="G432" s="7"/>
      <c r="H432" s="7"/>
      <c r="I432" s="7">
        <v>2343</v>
      </c>
      <c r="J432" s="14"/>
      <c r="K432" s="249"/>
    </row>
    <row r="433" spans="1:16" ht="12.75" customHeight="1" x14ac:dyDescent="0.25">
      <c r="A433" s="306"/>
      <c r="B433" s="289"/>
      <c r="C433" s="261"/>
      <c r="D433" s="249"/>
      <c r="E433" s="222">
        <v>2025</v>
      </c>
      <c r="F433" s="7">
        <f t="shared" si="79"/>
        <v>2437</v>
      </c>
      <c r="G433" s="7"/>
      <c r="H433" s="7"/>
      <c r="I433" s="7">
        <v>2437</v>
      </c>
      <c r="J433" s="14"/>
      <c r="K433" s="249"/>
    </row>
    <row r="434" spans="1:16" ht="30.75" customHeight="1" x14ac:dyDescent="0.2">
      <c r="A434" s="306"/>
      <c r="B434" s="289"/>
      <c r="C434" s="277"/>
      <c r="D434" s="249"/>
      <c r="E434" s="18" t="s">
        <v>18</v>
      </c>
      <c r="F434" s="9">
        <f>SUM(F423:F433)</f>
        <v>42153.8</v>
      </c>
      <c r="G434" s="9"/>
      <c r="H434" s="9">
        <f>SUM(H423:H428)</f>
        <v>0</v>
      </c>
      <c r="I434" s="9">
        <f>SUM(I423:I433)</f>
        <v>42153.8</v>
      </c>
      <c r="J434" s="44"/>
      <c r="K434" s="250"/>
    </row>
    <row r="435" spans="1:16" ht="13.5" customHeight="1" x14ac:dyDescent="0.25">
      <c r="A435" s="271" t="s">
        <v>229</v>
      </c>
      <c r="B435" s="258" t="s">
        <v>230</v>
      </c>
      <c r="C435" s="272" t="s">
        <v>393</v>
      </c>
      <c r="D435" s="260" t="s">
        <v>449</v>
      </c>
      <c r="E435" s="222">
        <v>2016</v>
      </c>
      <c r="F435" s="7">
        <f>G435+H435+I435</f>
        <v>42</v>
      </c>
      <c r="G435" s="8"/>
      <c r="H435" s="8"/>
      <c r="I435" s="7">
        <v>42</v>
      </c>
      <c r="J435" s="14"/>
      <c r="K435" s="260" t="s">
        <v>133</v>
      </c>
      <c r="L435" s="99"/>
    </row>
    <row r="436" spans="1:16" ht="13.5" customHeight="1" x14ac:dyDescent="0.25">
      <c r="A436" s="271"/>
      <c r="B436" s="258"/>
      <c r="C436" s="272"/>
      <c r="D436" s="260"/>
      <c r="E436" s="222">
        <v>2017</v>
      </c>
      <c r="F436" s="7">
        <f t="shared" ref="F436:F439" si="80">G436+H436+I436</f>
        <v>693.9</v>
      </c>
      <c r="G436" s="8"/>
      <c r="H436" s="8"/>
      <c r="I436" s="7">
        <v>693.9</v>
      </c>
      <c r="J436" s="14"/>
      <c r="K436" s="260"/>
      <c r="L436" s="99"/>
    </row>
    <row r="437" spans="1:16" ht="13.5" customHeight="1" x14ac:dyDescent="0.25">
      <c r="A437" s="271"/>
      <c r="B437" s="258"/>
      <c r="C437" s="272"/>
      <c r="D437" s="260"/>
      <c r="E437" s="222">
        <v>2018</v>
      </c>
      <c r="F437" s="7">
        <f t="shared" si="80"/>
        <v>200</v>
      </c>
      <c r="G437" s="8"/>
      <c r="H437" s="8"/>
      <c r="I437" s="7">
        <v>200</v>
      </c>
      <c r="J437" s="14"/>
      <c r="K437" s="260"/>
      <c r="L437" s="99"/>
    </row>
    <row r="438" spans="1:16" ht="13.5" customHeight="1" x14ac:dyDescent="0.25">
      <c r="A438" s="271"/>
      <c r="B438" s="258"/>
      <c r="C438" s="272"/>
      <c r="D438" s="260"/>
      <c r="E438" s="222">
        <v>2019</v>
      </c>
      <c r="F438" s="7">
        <f t="shared" si="80"/>
        <v>500</v>
      </c>
      <c r="G438" s="8"/>
      <c r="H438" s="8"/>
      <c r="I438" s="7">
        <f>200+300</f>
        <v>500</v>
      </c>
      <c r="J438" s="14"/>
      <c r="K438" s="260"/>
      <c r="L438" s="99"/>
    </row>
    <row r="439" spans="1:16" ht="12.75" customHeight="1" x14ac:dyDescent="0.25">
      <c r="A439" s="271"/>
      <c r="B439" s="258"/>
      <c r="C439" s="272"/>
      <c r="D439" s="260"/>
      <c r="E439" s="222">
        <v>2020</v>
      </c>
      <c r="F439" s="7">
        <f t="shared" si="80"/>
        <v>230</v>
      </c>
      <c r="G439" s="8"/>
      <c r="H439" s="8"/>
      <c r="I439" s="7">
        <f>200-200+230</f>
        <v>230</v>
      </c>
      <c r="J439" s="14"/>
      <c r="K439" s="260"/>
    </row>
    <row r="440" spans="1:16" ht="12.75" customHeight="1" x14ac:dyDescent="0.25">
      <c r="A440" s="271"/>
      <c r="B440" s="258"/>
      <c r="C440" s="272"/>
      <c r="D440" s="260"/>
      <c r="E440" s="222">
        <v>2021</v>
      </c>
      <c r="F440" s="7">
        <f t="shared" ref="F440" si="81">G440+H440+I440</f>
        <v>410</v>
      </c>
      <c r="G440" s="8"/>
      <c r="H440" s="8"/>
      <c r="I440" s="7">
        <v>410</v>
      </c>
      <c r="J440" s="14"/>
      <c r="K440" s="260"/>
    </row>
    <row r="441" spans="1:16" ht="12.75" customHeight="1" x14ac:dyDescent="0.25">
      <c r="A441" s="271"/>
      <c r="B441" s="258"/>
      <c r="C441" s="272"/>
      <c r="D441" s="260"/>
      <c r="E441" s="228">
        <v>2022</v>
      </c>
      <c r="F441" s="7">
        <f t="shared" ref="F441" si="82">G441+H441+I441</f>
        <v>0</v>
      </c>
      <c r="G441" s="8"/>
      <c r="H441" s="8"/>
      <c r="I441" s="7">
        <v>0</v>
      </c>
      <c r="J441" s="14"/>
      <c r="K441" s="260"/>
    </row>
    <row r="442" spans="1:16" ht="12.75" customHeight="1" x14ac:dyDescent="0.25">
      <c r="A442" s="271"/>
      <c r="B442" s="258"/>
      <c r="C442" s="272"/>
      <c r="D442" s="260"/>
      <c r="E442" s="228">
        <v>2023</v>
      </c>
      <c r="F442" s="7">
        <f t="shared" ref="F442" si="83">G442+H442+I442</f>
        <v>0</v>
      </c>
      <c r="G442" s="8"/>
      <c r="H442" s="8"/>
      <c r="I442" s="7">
        <v>0</v>
      </c>
      <c r="J442" s="14"/>
      <c r="K442" s="260"/>
    </row>
    <row r="443" spans="1:16" ht="18" customHeight="1" x14ac:dyDescent="0.2">
      <c r="A443" s="271"/>
      <c r="B443" s="258"/>
      <c r="C443" s="272"/>
      <c r="D443" s="260"/>
      <c r="E443" s="18" t="s">
        <v>18</v>
      </c>
      <c r="F443" s="8">
        <f>SUM(F435:F440)</f>
        <v>2075.9</v>
      </c>
      <c r="G443" s="8"/>
      <c r="H443" s="8">
        <v>0</v>
      </c>
      <c r="I443" s="8">
        <f>SUM(I435:I442)</f>
        <v>2075.9</v>
      </c>
      <c r="J443" s="14"/>
      <c r="K443" s="260"/>
      <c r="P443" s="99"/>
    </row>
    <row r="444" spans="1:16" ht="13.5" customHeight="1" x14ac:dyDescent="0.25">
      <c r="A444" s="301" t="s">
        <v>275</v>
      </c>
      <c r="B444" s="259" t="s">
        <v>252</v>
      </c>
      <c r="C444" s="276" t="s">
        <v>436</v>
      </c>
      <c r="D444" s="248" t="s">
        <v>449</v>
      </c>
      <c r="E444" s="222">
        <v>2017</v>
      </c>
      <c r="F444" s="10">
        <f>G444+H444+I444</f>
        <v>1046.7</v>
      </c>
      <c r="G444" s="9"/>
      <c r="H444" s="10">
        <f>1906.7-860</f>
        <v>1046.7</v>
      </c>
      <c r="I444" s="10"/>
      <c r="J444" s="22"/>
      <c r="K444" s="248" t="s">
        <v>254</v>
      </c>
      <c r="L444" s="99"/>
    </row>
    <row r="445" spans="1:16" ht="13.5" customHeight="1" x14ac:dyDescent="0.25">
      <c r="A445" s="302"/>
      <c r="B445" s="291"/>
      <c r="C445" s="290"/>
      <c r="D445" s="249"/>
      <c r="E445" s="222">
        <v>2018</v>
      </c>
      <c r="F445" s="10">
        <f t="shared" ref="F445:F447" si="84">G445+H445+I445</f>
        <v>1772.6</v>
      </c>
      <c r="G445" s="9"/>
      <c r="H445" s="10">
        <f>2127.6-355</f>
        <v>1772.6</v>
      </c>
      <c r="I445" s="10"/>
      <c r="J445" s="22"/>
      <c r="K445" s="249"/>
      <c r="L445" s="99"/>
    </row>
    <row r="446" spans="1:16" ht="13.5" customHeight="1" x14ac:dyDescent="0.25">
      <c r="A446" s="302"/>
      <c r="B446" s="291"/>
      <c r="C446" s="290"/>
      <c r="D446" s="249"/>
      <c r="E446" s="222">
        <v>2019</v>
      </c>
      <c r="F446" s="10">
        <f t="shared" si="84"/>
        <v>1807.8</v>
      </c>
      <c r="G446" s="9"/>
      <c r="H446" s="10">
        <f>1890.8-53-30</f>
        <v>1807.8</v>
      </c>
      <c r="I446" s="10"/>
      <c r="J446" s="22"/>
      <c r="K446" s="249"/>
      <c r="L446" s="99"/>
    </row>
    <row r="447" spans="1:16" ht="13.5" customHeight="1" x14ac:dyDescent="0.25">
      <c r="A447" s="302"/>
      <c r="B447" s="291"/>
      <c r="C447" s="290"/>
      <c r="D447" s="249"/>
      <c r="E447" s="222">
        <v>2020</v>
      </c>
      <c r="F447" s="10">
        <f t="shared" si="84"/>
        <v>1630</v>
      </c>
      <c r="G447" s="10">
        <v>238.5</v>
      </c>
      <c r="H447" s="10">
        <f>1899.8+748.8-20-1237.1</f>
        <v>1391.5</v>
      </c>
      <c r="I447" s="9"/>
      <c r="J447" s="22"/>
      <c r="K447" s="249"/>
      <c r="L447" s="99"/>
    </row>
    <row r="448" spans="1:16" ht="13.5" customHeight="1" x14ac:dyDescent="0.25">
      <c r="A448" s="302"/>
      <c r="B448" s="291"/>
      <c r="C448" s="290"/>
      <c r="D448" s="249"/>
      <c r="E448" s="222">
        <v>2021</v>
      </c>
      <c r="F448" s="10">
        <f>G448+H448+I448</f>
        <v>1650</v>
      </c>
      <c r="G448" s="10">
        <v>450</v>
      </c>
      <c r="H448" s="10">
        <f>1909.1+689.5-1398.6</f>
        <v>1200</v>
      </c>
      <c r="I448" s="10"/>
      <c r="J448" s="22"/>
      <c r="K448" s="249"/>
      <c r="L448" s="99"/>
    </row>
    <row r="449" spans="1:12" ht="13.5" customHeight="1" x14ac:dyDescent="0.25">
      <c r="A449" s="302"/>
      <c r="B449" s="291"/>
      <c r="C449" s="290"/>
      <c r="D449" s="249"/>
      <c r="E449" s="222">
        <v>2022</v>
      </c>
      <c r="F449" s="10">
        <f t="shared" ref="F449:F451" si="85">G449+H449+I449</f>
        <v>1650</v>
      </c>
      <c r="G449" s="10">
        <v>450</v>
      </c>
      <c r="H449" s="10">
        <f>2000+598.6-1398.6</f>
        <v>1200</v>
      </c>
      <c r="I449" s="10"/>
      <c r="J449" s="22"/>
      <c r="K449" s="249"/>
      <c r="L449" s="99"/>
    </row>
    <row r="450" spans="1:12" ht="13.5" customHeight="1" x14ac:dyDescent="0.25">
      <c r="A450" s="302"/>
      <c r="B450" s="291"/>
      <c r="C450" s="290"/>
      <c r="D450" s="249"/>
      <c r="E450" s="222">
        <v>2023</v>
      </c>
      <c r="F450" s="10">
        <f t="shared" si="85"/>
        <v>1750</v>
      </c>
      <c r="G450" s="10">
        <v>450</v>
      </c>
      <c r="H450" s="10">
        <f>2092-792</f>
        <v>1300</v>
      </c>
      <c r="I450" s="10"/>
      <c r="J450" s="22"/>
      <c r="K450" s="249"/>
      <c r="L450" s="99"/>
    </row>
    <row r="451" spans="1:12" ht="13.5" customHeight="1" x14ac:dyDescent="0.25">
      <c r="A451" s="302"/>
      <c r="B451" s="291"/>
      <c r="C451" s="290"/>
      <c r="D451" s="249"/>
      <c r="E451" s="222">
        <v>2024</v>
      </c>
      <c r="F451" s="10">
        <f t="shared" si="85"/>
        <v>2188.1999999999998</v>
      </c>
      <c r="G451" s="9"/>
      <c r="H451" s="10">
        <v>2188.1999999999998</v>
      </c>
      <c r="I451" s="9"/>
      <c r="J451" s="22"/>
      <c r="K451" s="249"/>
      <c r="L451" s="99"/>
    </row>
    <row r="452" spans="1:12" ht="13.5" customHeight="1" x14ac:dyDescent="0.25">
      <c r="A452" s="302"/>
      <c r="B452" s="291"/>
      <c r="C452" s="290"/>
      <c r="D452" s="249"/>
      <c r="E452" s="222">
        <v>2025</v>
      </c>
      <c r="F452" s="10">
        <f t="shared" ref="F452" si="86">G452+H452+I452</f>
        <v>2288.9</v>
      </c>
      <c r="G452" s="9"/>
      <c r="H452" s="10">
        <v>2288.9</v>
      </c>
      <c r="I452" s="9"/>
      <c r="J452" s="22"/>
      <c r="K452" s="249"/>
      <c r="L452" s="99"/>
    </row>
    <row r="453" spans="1:12" ht="64.5" customHeight="1" x14ac:dyDescent="0.2">
      <c r="A453" s="302"/>
      <c r="B453" s="292"/>
      <c r="C453" s="290"/>
      <c r="D453" s="249"/>
      <c r="E453" s="26" t="s">
        <v>18</v>
      </c>
      <c r="F453" s="9">
        <f>SUM(F444:F452)</f>
        <v>15784.199999999999</v>
      </c>
      <c r="G453" s="9">
        <f>SUM(G444:G452)</f>
        <v>1588.5</v>
      </c>
      <c r="H453" s="9">
        <f>SUM(H444:H452)</f>
        <v>14195.699999999999</v>
      </c>
      <c r="I453" s="9">
        <f>SUM(I444:I447)</f>
        <v>0</v>
      </c>
      <c r="J453" s="22"/>
      <c r="K453" s="249"/>
    </row>
    <row r="454" spans="1:12" ht="13.5" customHeight="1" x14ac:dyDescent="0.25">
      <c r="A454" s="301" t="s">
        <v>293</v>
      </c>
      <c r="B454" s="259" t="s">
        <v>291</v>
      </c>
      <c r="C454" s="276" t="s">
        <v>436</v>
      </c>
      <c r="D454" s="248" t="s">
        <v>449</v>
      </c>
      <c r="E454" s="222">
        <v>2017</v>
      </c>
      <c r="F454" s="10">
        <f>G454+H454+I454</f>
        <v>163</v>
      </c>
      <c r="G454" s="9"/>
      <c r="H454" s="10"/>
      <c r="I454" s="10">
        <v>163</v>
      </c>
      <c r="J454" s="22"/>
      <c r="K454" s="513" t="s">
        <v>373</v>
      </c>
      <c r="L454" s="99"/>
    </row>
    <row r="455" spans="1:12" ht="13.5" customHeight="1" x14ac:dyDescent="0.25">
      <c r="A455" s="302"/>
      <c r="B455" s="291"/>
      <c r="C455" s="290"/>
      <c r="D455" s="249"/>
      <c r="E455" s="222">
        <v>2018</v>
      </c>
      <c r="F455" s="10">
        <f t="shared" ref="F455:F457" si="87">G455+H455+I455</f>
        <v>245</v>
      </c>
      <c r="G455" s="9"/>
      <c r="H455" s="9"/>
      <c r="I455" s="10">
        <f>220+25</f>
        <v>245</v>
      </c>
      <c r="J455" s="22"/>
      <c r="K455" s="514"/>
      <c r="L455" s="99" t="s">
        <v>339</v>
      </c>
    </row>
    <row r="456" spans="1:12" ht="13.5" customHeight="1" x14ac:dyDescent="0.25">
      <c r="A456" s="302"/>
      <c r="B456" s="291"/>
      <c r="C456" s="290"/>
      <c r="D456" s="249"/>
      <c r="E456" s="222">
        <v>2019</v>
      </c>
      <c r="F456" s="10">
        <f t="shared" si="87"/>
        <v>480.4</v>
      </c>
      <c r="G456" s="9"/>
      <c r="H456" s="9"/>
      <c r="I456" s="10">
        <f>350+130.4</f>
        <v>480.4</v>
      </c>
      <c r="J456" s="22"/>
      <c r="K456" s="514"/>
      <c r="L456" s="99"/>
    </row>
    <row r="457" spans="1:12" ht="13.5" customHeight="1" x14ac:dyDescent="0.25">
      <c r="A457" s="302"/>
      <c r="B457" s="291"/>
      <c r="C457" s="290"/>
      <c r="D457" s="249"/>
      <c r="E457" s="222">
        <v>2020</v>
      </c>
      <c r="F457" s="10">
        <f t="shared" si="87"/>
        <v>375</v>
      </c>
      <c r="G457" s="9"/>
      <c r="H457" s="9"/>
      <c r="I457" s="10">
        <v>375</v>
      </c>
      <c r="J457" s="22"/>
      <c r="K457" s="514"/>
      <c r="L457" s="99"/>
    </row>
    <row r="458" spans="1:12" ht="13.5" customHeight="1" x14ac:dyDescent="0.25">
      <c r="A458" s="302"/>
      <c r="B458" s="291"/>
      <c r="C458" s="290"/>
      <c r="D458" s="249"/>
      <c r="E458" s="222">
        <v>2021</v>
      </c>
      <c r="F458" s="10">
        <f>G458+H458+I458</f>
        <v>442.6</v>
      </c>
      <c r="G458" s="9"/>
      <c r="H458" s="10"/>
      <c r="I458" s="10">
        <v>442.6</v>
      </c>
      <c r="J458" s="22"/>
      <c r="K458" s="514"/>
      <c r="L458" s="99"/>
    </row>
    <row r="459" spans="1:12" ht="13.5" customHeight="1" x14ac:dyDescent="0.25">
      <c r="A459" s="302"/>
      <c r="B459" s="291"/>
      <c r="C459" s="290"/>
      <c r="D459" s="249"/>
      <c r="E459" s="222">
        <v>2022</v>
      </c>
      <c r="F459" s="10">
        <f t="shared" ref="F459:F461" si="88">G459+H459+I459</f>
        <v>0</v>
      </c>
      <c r="G459" s="9"/>
      <c r="H459" s="9"/>
      <c r="I459" s="10">
        <v>0</v>
      </c>
      <c r="J459" s="22"/>
      <c r="K459" s="514"/>
      <c r="L459" s="99" t="s">
        <v>339</v>
      </c>
    </row>
    <row r="460" spans="1:12" ht="13.5" customHeight="1" x14ac:dyDescent="0.25">
      <c r="A460" s="302"/>
      <c r="B460" s="291"/>
      <c r="C460" s="290"/>
      <c r="D460" s="249"/>
      <c r="E460" s="222">
        <v>2023</v>
      </c>
      <c r="F460" s="10">
        <f t="shared" si="88"/>
        <v>0</v>
      </c>
      <c r="G460" s="9"/>
      <c r="H460" s="9"/>
      <c r="I460" s="10">
        <v>0</v>
      </c>
      <c r="J460" s="22"/>
      <c r="K460" s="514"/>
      <c r="L460" s="99"/>
    </row>
    <row r="461" spans="1:12" ht="13.5" customHeight="1" x14ac:dyDescent="0.25">
      <c r="A461" s="302"/>
      <c r="B461" s="291"/>
      <c r="C461" s="290"/>
      <c r="D461" s="249"/>
      <c r="E461" s="222">
        <v>2024</v>
      </c>
      <c r="F461" s="10">
        <f t="shared" si="88"/>
        <v>0</v>
      </c>
      <c r="G461" s="9"/>
      <c r="H461" s="9"/>
      <c r="I461" s="10">
        <v>0</v>
      </c>
      <c r="J461" s="22"/>
      <c r="K461" s="514"/>
      <c r="L461" s="99"/>
    </row>
    <row r="462" spans="1:12" ht="13.5" customHeight="1" x14ac:dyDescent="0.25">
      <c r="A462" s="302"/>
      <c r="B462" s="291"/>
      <c r="C462" s="290"/>
      <c r="D462" s="249"/>
      <c r="E462" s="222">
        <v>2025</v>
      </c>
      <c r="F462" s="10">
        <f t="shared" ref="F462" si="89">G462+H462+I462</f>
        <v>0</v>
      </c>
      <c r="G462" s="9"/>
      <c r="H462" s="9"/>
      <c r="I462" s="10">
        <v>0</v>
      </c>
      <c r="J462" s="22"/>
      <c r="K462" s="514"/>
      <c r="L462" s="99"/>
    </row>
    <row r="463" spans="1:12" ht="19.5" customHeight="1" x14ac:dyDescent="0.2">
      <c r="A463" s="302"/>
      <c r="B463" s="292"/>
      <c r="C463" s="290"/>
      <c r="D463" s="249"/>
      <c r="E463" s="26" t="s">
        <v>18</v>
      </c>
      <c r="F463" s="9">
        <f>SUM(F454:F462)</f>
        <v>1706</v>
      </c>
      <c r="G463" s="9"/>
      <c r="H463" s="9">
        <f t="shared" ref="H463" si="90">SUM(H454:H457)</f>
        <v>0</v>
      </c>
      <c r="I463" s="9">
        <f>SUM(I454:I462)</f>
        <v>1706</v>
      </c>
      <c r="J463" s="22"/>
      <c r="K463" s="514"/>
    </row>
    <row r="464" spans="1:12" ht="13.5" customHeight="1" x14ac:dyDescent="0.25">
      <c r="A464" s="301" t="s">
        <v>446</v>
      </c>
      <c r="B464" s="259" t="s">
        <v>444</v>
      </c>
      <c r="C464" s="276" t="s">
        <v>448</v>
      </c>
      <c r="D464" s="248" t="s">
        <v>449</v>
      </c>
      <c r="E464" s="227">
        <v>2020</v>
      </c>
      <c r="F464" s="10">
        <f>G464+H464+I464</f>
        <v>445.3</v>
      </c>
      <c r="G464" s="10">
        <v>445.3</v>
      </c>
      <c r="H464" s="10">
        <v>0</v>
      </c>
      <c r="I464" s="10">
        <v>0</v>
      </c>
      <c r="J464" s="22"/>
      <c r="K464" s="513" t="s">
        <v>445</v>
      </c>
      <c r="L464" s="99"/>
    </row>
    <row r="465" spans="1:32" ht="13.5" customHeight="1" x14ac:dyDescent="0.25">
      <c r="A465" s="302"/>
      <c r="B465" s="291"/>
      <c r="C465" s="290"/>
      <c r="D465" s="249"/>
      <c r="E465" s="227">
        <v>2021</v>
      </c>
      <c r="F465" s="10">
        <f t="shared" ref="F465:F467" si="91">G465+H465+I465</f>
        <v>1400</v>
      </c>
      <c r="G465" s="10">
        <v>1400</v>
      </c>
      <c r="H465" s="10">
        <v>0</v>
      </c>
      <c r="I465" s="10">
        <v>0</v>
      </c>
      <c r="J465" s="22"/>
      <c r="K465" s="514"/>
      <c r="L465" s="99" t="s">
        <v>339</v>
      </c>
    </row>
    <row r="466" spans="1:32" ht="13.5" customHeight="1" x14ac:dyDescent="0.25">
      <c r="A466" s="302"/>
      <c r="B466" s="291"/>
      <c r="C466" s="290"/>
      <c r="D466" s="249"/>
      <c r="E466" s="227">
        <v>2022</v>
      </c>
      <c r="F466" s="10">
        <f t="shared" si="91"/>
        <v>1460</v>
      </c>
      <c r="G466" s="10">
        <v>1460</v>
      </c>
      <c r="H466" s="10">
        <v>0</v>
      </c>
      <c r="I466" s="10">
        <v>0</v>
      </c>
      <c r="J466" s="22"/>
      <c r="K466" s="514"/>
      <c r="L466" s="99"/>
    </row>
    <row r="467" spans="1:32" ht="13.5" customHeight="1" x14ac:dyDescent="0.25">
      <c r="A467" s="302"/>
      <c r="B467" s="291"/>
      <c r="C467" s="290"/>
      <c r="D467" s="249"/>
      <c r="E467" s="227">
        <v>2023</v>
      </c>
      <c r="F467" s="10">
        <f t="shared" si="91"/>
        <v>1460</v>
      </c>
      <c r="G467" s="10">
        <v>1460</v>
      </c>
      <c r="H467" s="10">
        <v>0</v>
      </c>
      <c r="I467" s="10">
        <v>0</v>
      </c>
      <c r="J467" s="22"/>
      <c r="K467" s="514"/>
      <c r="L467" s="99"/>
    </row>
    <row r="468" spans="1:32" ht="13.5" customHeight="1" x14ac:dyDescent="0.25">
      <c r="A468" s="302"/>
      <c r="B468" s="291"/>
      <c r="C468" s="290"/>
      <c r="D468" s="249"/>
      <c r="E468" s="227">
        <v>2024</v>
      </c>
      <c r="F468" s="10">
        <f>G468+H468+I468</f>
        <v>0</v>
      </c>
      <c r="G468" s="9"/>
      <c r="H468" s="10">
        <v>0</v>
      </c>
      <c r="I468" s="10">
        <v>0</v>
      </c>
      <c r="J468" s="22"/>
      <c r="K468" s="514"/>
      <c r="L468" s="99"/>
    </row>
    <row r="469" spans="1:32" ht="13.5" customHeight="1" x14ac:dyDescent="0.25">
      <c r="A469" s="302"/>
      <c r="B469" s="291"/>
      <c r="C469" s="290"/>
      <c r="D469" s="249"/>
      <c r="E469" s="227">
        <v>2025</v>
      </c>
      <c r="F469" s="10">
        <f t="shared" ref="F469" si="92">G469+H469+I469</f>
        <v>0</v>
      </c>
      <c r="G469" s="9"/>
      <c r="H469" s="10">
        <v>0</v>
      </c>
      <c r="I469" s="10">
        <v>0</v>
      </c>
      <c r="J469" s="22"/>
      <c r="K469" s="514"/>
      <c r="L469" s="99" t="s">
        <v>339</v>
      </c>
    </row>
    <row r="470" spans="1:32" ht="173.25" customHeight="1" thickBot="1" x14ac:dyDescent="0.25">
      <c r="A470" s="302"/>
      <c r="B470" s="292"/>
      <c r="C470" s="290"/>
      <c r="D470" s="249"/>
      <c r="E470" s="26" t="s">
        <v>18</v>
      </c>
      <c r="F470" s="9">
        <f>SUM(F464:F469)</f>
        <v>4765.3</v>
      </c>
      <c r="G470" s="9">
        <f>SUM(G464:G469)</f>
        <v>4765.3</v>
      </c>
      <c r="H470" s="9">
        <f>SUM(H464:H469)</f>
        <v>0</v>
      </c>
      <c r="I470" s="9">
        <f>SUM(I464:I469)</f>
        <v>0</v>
      </c>
      <c r="J470" s="22"/>
      <c r="K470" s="514"/>
    </row>
    <row r="471" spans="1:32" ht="15.75" thickBot="1" x14ac:dyDescent="0.3">
      <c r="A471" s="311" t="s">
        <v>174</v>
      </c>
      <c r="B471" s="366"/>
      <c r="C471" s="366"/>
      <c r="D471" s="366"/>
      <c r="E471" s="49"/>
      <c r="F471" s="150">
        <f>F422+F415+F403+F434+F443+F453+F463+F470</f>
        <v>516526.5</v>
      </c>
      <c r="G471" s="149">
        <f>G422+G415+G403+G434+G443+G453+G463+G470</f>
        <v>6353.8</v>
      </c>
      <c r="H471" s="149">
        <f>H422+H415+H403+H434+H443+H453+H463</f>
        <v>456400.10000000003</v>
      </c>
      <c r="I471" s="149">
        <f>I422+I415+I403+I434+I443+I453+I463</f>
        <v>53772.600000000006</v>
      </c>
      <c r="J471" s="102"/>
      <c r="K471" s="103"/>
      <c r="M471" s="126"/>
      <c r="N471" s="127"/>
    </row>
    <row r="472" spans="1:32" ht="16.5" thickBot="1" x14ac:dyDescent="0.3">
      <c r="A472" s="293" t="s">
        <v>179</v>
      </c>
      <c r="B472" s="294"/>
      <c r="C472" s="294"/>
      <c r="D472" s="294"/>
      <c r="E472" s="294"/>
      <c r="F472" s="100"/>
      <c r="G472" s="100"/>
      <c r="H472" s="100"/>
      <c r="I472" s="101"/>
      <c r="J472" s="101"/>
      <c r="K472" s="101"/>
      <c r="L472" s="52"/>
      <c r="M472" s="52"/>
      <c r="N472" s="52"/>
      <c r="O472" s="52"/>
      <c r="P472" s="52"/>
      <c r="Q472" s="52"/>
      <c r="R472" s="52"/>
      <c r="S472" s="52"/>
      <c r="T472" s="52"/>
      <c r="U472" s="52"/>
      <c r="V472" s="52"/>
      <c r="W472" s="52"/>
      <c r="X472" s="52"/>
      <c r="Y472" s="52"/>
      <c r="Z472" s="52"/>
      <c r="AA472" s="52"/>
      <c r="AB472" s="52"/>
      <c r="AC472" s="52"/>
      <c r="AD472" s="52"/>
      <c r="AE472" s="52"/>
      <c r="AF472" s="53"/>
    </row>
    <row r="473" spans="1:32" ht="15" x14ac:dyDescent="0.25">
      <c r="A473" s="295" t="s">
        <v>276</v>
      </c>
      <c r="B473" s="297" t="s">
        <v>470</v>
      </c>
      <c r="C473" s="276" t="s">
        <v>397</v>
      </c>
      <c r="D473" s="248" t="s">
        <v>449</v>
      </c>
      <c r="E473" s="222">
        <v>2015</v>
      </c>
      <c r="F473" s="7">
        <f t="shared" ref="F473:F478" si="93">SUM(G473:I473)</f>
        <v>175</v>
      </c>
      <c r="G473" s="7"/>
      <c r="H473" s="7"/>
      <c r="I473" s="7">
        <v>175</v>
      </c>
      <c r="J473" s="14"/>
      <c r="K473" s="248" t="s">
        <v>143</v>
      </c>
    </row>
    <row r="474" spans="1:32" ht="15" x14ac:dyDescent="0.25">
      <c r="A474" s="296"/>
      <c r="B474" s="298"/>
      <c r="C474" s="261"/>
      <c r="D474" s="249"/>
      <c r="E474" s="222">
        <v>2016</v>
      </c>
      <c r="F474" s="7">
        <f t="shared" si="93"/>
        <v>195</v>
      </c>
      <c r="G474" s="7"/>
      <c r="H474" s="7"/>
      <c r="I474" s="7">
        <f>185+10</f>
        <v>195</v>
      </c>
      <c r="J474" s="14"/>
      <c r="K474" s="249"/>
    </row>
    <row r="475" spans="1:32" ht="15" x14ac:dyDescent="0.25">
      <c r="A475" s="296"/>
      <c r="B475" s="298"/>
      <c r="C475" s="261"/>
      <c r="D475" s="249"/>
      <c r="E475" s="222">
        <v>2017</v>
      </c>
      <c r="F475" s="7">
        <f t="shared" si="93"/>
        <v>151.5</v>
      </c>
      <c r="G475" s="7"/>
      <c r="H475" s="7"/>
      <c r="I475" s="7">
        <v>151.5</v>
      </c>
      <c r="J475" s="14"/>
      <c r="K475" s="249"/>
      <c r="L475" s="99"/>
    </row>
    <row r="476" spans="1:32" ht="15" x14ac:dyDescent="0.25">
      <c r="A476" s="296"/>
      <c r="B476" s="298"/>
      <c r="C476" s="261"/>
      <c r="D476" s="249"/>
      <c r="E476" s="222">
        <v>2018</v>
      </c>
      <c r="F476" s="7">
        <f t="shared" si="93"/>
        <v>223.2</v>
      </c>
      <c r="G476" s="7"/>
      <c r="H476" s="7"/>
      <c r="I476" s="7">
        <f>205+18.2</f>
        <v>223.2</v>
      </c>
      <c r="J476" s="14"/>
      <c r="K476" s="249"/>
      <c r="L476" s="99"/>
    </row>
    <row r="477" spans="1:32" ht="15" x14ac:dyDescent="0.25">
      <c r="A477" s="296"/>
      <c r="B477" s="298"/>
      <c r="C477" s="261"/>
      <c r="D477" s="249"/>
      <c r="E477" s="222">
        <v>2019</v>
      </c>
      <c r="F477" s="7">
        <f t="shared" si="93"/>
        <v>215</v>
      </c>
      <c r="G477" s="7"/>
      <c r="H477" s="7"/>
      <c r="I477" s="7">
        <v>215</v>
      </c>
      <c r="J477" s="14"/>
      <c r="K477" s="249"/>
      <c r="L477" s="99"/>
    </row>
    <row r="478" spans="1:32" ht="15" x14ac:dyDescent="0.25">
      <c r="A478" s="296"/>
      <c r="B478" s="298"/>
      <c r="C478" s="261"/>
      <c r="D478" s="249"/>
      <c r="E478" s="222">
        <v>2020</v>
      </c>
      <c r="F478" s="7">
        <f t="shared" si="93"/>
        <v>230</v>
      </c>
      <c r="G478" s="7"/>
      <c r="H478" s="7"/>
      <c r="I478" s="7">
        <f>100+130</f>
        <v>230</v>
      </c>
      <c r="J478" s="14"/>
      <c r="K478" s="249"/>
    </row>
    <row r="479" spans="1:32" ht="15" x14ac:dyDescent="0.25">
      <c r="A479" s="296"/>
      <c r="B479" s="298"/>
      <c r="C479" s="261"/>
      <c r="D479" s="249"/>
      <c r="E479" s="222">
        <v>2021</v>
      </c>
      <c r="F479" s="7">
        <f t="shared" ref="F479:F483" si="94">SUM(G479:I479)</f>
        <v>200</v>
      </c>
      <c r="G479" s="7"/>
      <c r="H479" s="7"/>
      <c r="I479" s="7">
        <v>200</v>
      </c>
      <c r="J479" s="14"/>
      <c r="K479" s="249"/>
    </row>
    <row r="480" spans="1:32" ht="15" x14ac:dyDescent="0.25">
      <c r="A480" s="296"/>
      <c r="B480" s="298"/>
      <c r="C480" s="261"/>
      <c r="D480" s="249"/>
      <c r="E480" s="222">
        <v>2022</v>
      </c>
      <c r="F480" s="7">
        <f t="shared" si="94"/>
        <v>0</v>
      </c>
      <c r="G480" s="7"/>
      <c r="H480" s="7"/>
      <c r="I480" s="7">
        <f>50-50</f>
        <v>0</v>
      </c>
      <c r="J480" s="14"/>
      <c r="K480" s="249"/>
      <c r="L480" s="99"/>
    </row>
    <row r="481" spans="1:32" ht="15" x14ac:dyDescent="0.25">
      <c r="A481" s="296"/>
      <c r="B481" s="298"/>
      <c r="C481" s="261"/>
      <c r="D481" s="249"/>
      <c r="E481" s="222">
        <v>2023</v>
      </c>
      <c r="F481" s="7">
        <f t="shared" si="94"/>
        <v>0</v>
      </c>
      <c r="G481" s="7"/>
      <c r="H481" s="7"/>
      <c r="I481" s="7">
        <f>52-52</f>
        <v>0</v>
      </c>
      <c r="J481" s="14"/>
      <c r="K481" s="249"/>
      <c r="L481" s="99"/>
    </row>
    <row r="482" spans="1:32" ht="15" x14ac:dyDescent="0.25">
      <c r="A482" s="296"/>
      <c r="B482" s="298"/>
      <c r="C482" s="261"/>
      <c r="D482" s="249"/>
      <c r="E482" s="222">
        <v>2024</v>
      </c>
      <c r="F482" s="7">
        <f t="shared" si="94"/>
        <v>55</v>
      </c>
      <c r="G482" s="7"/>
      <c r="H482" s="7"/>
      <c r="I482" s="7">
        <v>55</v>
      </c>
      <c r="J482" s="14"/>
      <c r="K482" s="249"/>
      <c r="L482" s="99"/>
    </row>
    <row r="483" spans="1:32" ht="15" x14ac:dyDescent="0.25">
      <c r="A483" s="296"/>
      <c r="B483" s="298"/>
      <c r="C483" s="261"/>
      <c r="D483" s="249"/>
      <c r="E483" s="222">
        <v>2025</v>
      </c>
      <c r="F483" s="7">
        <f t="shared" si="94"/>
        <v>57</v>
      </c>
      <c r="G483" s="7"/>
      <c r="H483" s="7"/>
      <c r="I483" s="7">
        <v>57</v>
      </c>
      <c r="J483" s="14"/>
      <c r="K483" s="249"/>
    </row>
    <row r="484" spans="1:32" ht="58.5" customHeight="1" x14ac:dyDescent="0.2">
      <c r="A484" s="296"/>
      <c r="B484" s="298"/>
      <c r="C484" s="261"/>
      <c r="D484" s="249"/>
      <c r="E484" s="26" t="s">
        <v>18</v>
      </c>
      <c r="F484" s="9">
        <f>SUM(F473:F483)</f>
        <v>1501.7</v>
      </c>
      <c r="G484" s="9"/>
      <c r="H484" s="9"/>
      <c r="I484" s="9">
        <f>SUM(I473:I483)</f>
        <v>1501.7</v>
      </c>
      <c r="J484" s="22"/>
      <c r="K484" s="250"/>
    </row>
    <row r="485" spans="1:32" ht="15" x14ac:dyDescent="0.25">
      <c r="A485" s="303" t="s">
        <v>277</v>
      </c>
      <c r="B485" s="297" t="s">
        <v>79</v>
      </c>
      <c r="C485" s="272" t="s">
        <v>406</v>
      </c>
      <c r="D485" s="248" t="s">
        <v>452</v>
      </c>
      <c r="E485" s="222">
        <v>2017</v>
      </c>
      <c r="F485" s="7">
        <f t="shared" ref="F485:F488" si="95">SUM(G485:I485)</f>
        <v>200</v>
      </c>
      <c r="G485" s="7"/>
      <c r="H485" s="7"/>
      <c r="I485" s="7">
        <v>200</v>
      </c>
      <c r="J485" s="14"/>
      <c r="K485" s="248" t="s">
        <v>158</v>
      </c>
      <c r="L485" s="99"/>
    </row>
    <row r="486" spans="1:32" ht="15" x14ac:dyDescent="0.25">
      <c r="A486" s="304"/>
      <c r="B486" s="298"/>
      <c r="C486" s="284"/>
      <c r="D486" s="249"/>
      <c r="E486" s="222">
        <v>2018</v>
      </c>
      <c r="F486" s="7">
        <f t="shared" si="95"/>
        <v>240</v>
      </c>
      <c r="G486" s="7"/>
      <c r="H486" s="7"/>
      <c r="I486" s="7">
        <v>240</v>
      </c>
      <c r="J486" s="14"/>
      <c r="K486" s="249"/>
    </row>
    <row r="487" spans="1:32" ht="15" x14ac:dyDescent="0.25">
      <c r="A487" s="304"/>
      <c r="B487" s="298"/>
      <c r="C487" s="284"/>
      <c r="D487" s="249"/>
      <c r="E487" s="222">
        <v>2019</v>
      </c>
      <c r="F487" s="7">
        <f t="shared" si="95"/>
        <v>220</v>
      </c>
      <c r="G487" s="7"/>
      <c r="H487" s="7"/>
      <c r="I487" s="7">
        <v>220</v>
      </c>
      <c r="J487" s="14"/>
      <c r="K487" s="249"/>
      <c r="L487" s="99"/>
    </row>
    <row r="488" spans="1:32" ht="15" x14ac:dyDescent="0.25">
      <c r="A488" s="304"/>
      <c r="B488" s="298"/>
      <c r="C488" s="284"/>
      <c r="D488" s="249"/>
      <c r="E488" s="222">
        <v>2020</v>
      </c>
      <c r="F488" s="7">
        <f t="shared" si="95"/>
        <v>0</v>
      </c>
      <c r="G488" s="7"/>
      <c r="H488" s="7"/>
      <c r="I488" s="7">
        <f>100+100-200</f>
        <v>0</v>
      </c>
      <c r="J488" s="14"/>
      <c r="K488" s="249"/>
      <c r="L488" s="99"/>
    </row>
    <row r="489" spans="1:32" ht="15" x14ac:dyDescent="0.25">
      <c r="A489" s="304"/>
      <c r="B489" s="298"/>
      <c r="C489" s="284"/>
      <c r="D489" s="249"/>
      <c r="E489" s="222">
        <v>2021</v>
      </c>
      <c r="F489" s="7">
        <f t="shared" ref="F489:F492" si="96">SUM(G489:I489)</f>
        <v>200</v>
      </c>
      <c r="G489" s="7"/>
      <c r="H489" s="7"/>
      <c r="I489" s="7">
        <v>200</v>
      </c>
      <c r="J489" s="14"/>
      <c r="K489" s="249"/>
      <c r="L489" s="99"/>
    </row>
    <row r="490" spans="1:32" ht="15" x14ac:dyDescent="0.25">
      <c r="A490" s="304"/>
      <c r="B490" s="298"/>
      <c r="C490" s="284"/>
      <c r="D490" s="249"/>
      <c r="E490" s="222">
        <v>2022</v>
      </c>
      <c r="F490" s="7">
        <f t="shared" si="96"/>
        <v>0</v>
      </c>
      <c r="G490" s="7"/>
      <c r="H490" s="7"/>
      <c r="I490" s="7">
        <f>50-50</f>
        <v>0</v>
      </c>
      <c r="J490" s="14"/>
      <c r="K490" s="249"/>
    </row>
    <row r="491" spans="1:32" ht="15" x14ac:dyDescent="0.25">
      <c r="A491" s="304"/>
      <c r="B491" s="298"/>
      <c r="C491" s="284"/>
      <c r="D491" s="249"/>
      <c r="E491" s="222">
        <v>2023</v>
      </c>
      <c r="F491" s="7">
        <f t="shared" si="96"/>
        <v>0</v>
      </c>
      <c r="G491" s="7"/>
      <c r="H491" s="7"/>
      <c r="I491" s="7">
        <f>52-52</f>
        <v>0</v>
      </c>
      <c r="J491" s="14"/>
      <c r="K491" s="249"/>
      <c r="L491" s="99"/>
    </row>
    <row r="492" spans="1:32" ht="15" x14ac:dyDescent="0.25">
      <c r="A492" s="304"/>
      <c r="B492" s="298"/>
      <c r="C492" s="284"/>
      <c r="D492" s="249"/>
      <c r="E492" s="222">
        <v>2024</v>
      </c>
      <c r="F492" s="7">
        <f t="shared" si="96"/>
        <v>55</v>
      </c>
      <c r="G492" s="7"/>
      <c r="H492" s="7"/>
      <c r="I492" s="7">
        <v>55</v>
      </c>
      <c r="J492" s="14"/>
      <c r="K492" s="249"/>
      <c r="L492" s="99"/>
    </row>
    <row r="493" spans="1:32" ht="15" x14ac:dyDescent="0.25">
      <c r="A493" s="304"/>
      <c r="B493" s="298"/>
      <c r="C493" s="284"/>
      <c r="D493" s="249"/>
      <c r="E493" s="222">
        <v>2025</v>
      </c>
      <c r="F493" s="7">
        <f t="shared" ref="F493" si="97">SUM(G493:I493)</f>
        <v>57</v>
      </c>
      <c r="G493" s="7"/>
      <c r="H493" s="7"/>
      <c r="I493" s="7">
        <v>57</v>
      </c>
      <c r="J493" s="14"/>
      <c r="K493" s="249"/>
      <c r="L493" s="99"/>
    </row>
    <row r="494" spans="1:32" ht="58.5" customHeight="1" thickBot="1" x14ac:dyDescent="0.25">
      <c r="A494" s="304"/>
      <c r="B494" s="298"/>
      <c r="C494" s="284"/>
      <c r="D494" s="249"/>
      <c r="E494" s="26" t="s">
        <v>18</v>
      </c>
      <c r="F494" s="9">
        <f>SUM(F485:F493)</f>
        <v>972</v>
      </c>
      <c r="G494" s="9"/>
      <c r="H494" s="9"/>
      <c r="I494" s="9">
        <f>SUM(I485:I493)</f>
        <v>972</v>
      </c>
      <c r="J494" s="22"/>
      <c r="K494" s="250"/>
    </row>
    <row r="495" spans="1:32" ht="15.75" thickBot="1" x14ac:dyDescent="0.3">
      <c r="A495" s="580" t="s">
        <v>186</v>
      </c>
      <c r="B495" s="366"/>
      <c r="C495" s="581"/>
      <c r="D495" s="366"/>
      <c r="E495" s="54"/>
      <c r="F495" s="140">
        <f>F494+F484</f>
        <v>2473.6999999999998</v>
      </c>
      <c r="G495" s="151"/>
      <c r="H495" s="140">
        <f>H494+H484</f>
        <v>0</v>
      </c>
      <c r="I495" s="140">
        <f>I494+I484</f>
        <v>2473.6999999999998</v>
      </c>
      <c r="J495" s="50"/>
      <c r="K495" s="51"/>
      <c r="L495" s="126"/>
      <c r="M495" s="127"/>
    </row>
    <row r="496" spans="1:32" ht="16.5" thickBot="1" x14ac:dyDescent="0.25">
      <c r="A496" s="254" t="s">
        <v>180</v>
      </c>
      <c r="B496" s="255"/>
      <c r="C496" s="255"/>
      <c r="D496" s="255"/>
      <c r="E496" s="255"/>
      <c r="F496" s="255"/>
      <c r="G496" s="255"/>
      <c r="H496" s="255"/>
      <c r="I496" s="255"/>
      <c r="J496" s="255"/>
      <c r="K496" s="256"/>
      <c r="L496" s="55"/>
      <c r="M496" s="55"/>
      <c r="N496" s="55"/>
      <c r="O496" s="55"/>
      <c r="P496" s="55"/>
      <c r="Q496" s="55"/>
      <c r="R496" s="55"/>
      <c r="S496" s="55"/>
      <c r="T496" s="55"/>
      <c r="U496" s="55"/>
      <c r="V496" s="55"/>
      <c r="W496" s="55"/>
      <c r="X496" s="55"/>
      <c r="Y496" s="55"/>
      <c r="Z496" s="55"/>
      <c r="AA496" s="55"/>
      <c r="AB496" s="55"/>
      <c r="AC496" s="55"/>
      <c r="AD496" s="55"/>
      <c r="AE496" s="55"/>
      <c r="AF496" s="56"/>
    </row>
    <row r="497" spans="1:32" ht="15" x14ac:dyDescent="0.25">
      <c r="A497" s="257" t="s">
        <v>144</v>
      </c>
      <c r="B497" s="292" t="s">
        <v>288</v>
      </c>
      <c r="C497" s="290" t="s">
        <v>68</v>
      </c>
      <c r="D497" s="249" t="s">
        <v>449</v>
      </c>
      <c r="E497" s="208">
        <v>2015</v>
      </c>
      <c r="F497" s="143">
        <f t="shared" ref="F497:F502" si="98">SUM(G497:I497)</f>
        <v>275</v>
      </c>
      <c r="G497" s="143"/>
      <c r="H497" s="143"/>
      <c r="I497" s="143">
        <v>275</v>
      </c>
      <c r="J497" s="12"/>
      <c r="K497" s="249" t="s">
        <v>145</v>
      </c>
    </row>
    <row r="498" spans="1:32" ht="15" x14ac:dyDescent="0.25">
      <c r="A498" s="586"/>
      <c r="B498" s="258"/>
      <c r="C498" s="261"/>
      <c r="D498" s="249"/>
      <c r="E498" s="222">
        <v>2016</v>
      </c>
      <c r="F498" s="7">
        <f t="shared" si="98"/>
        <v>294.7</v>
      </c>
      <c r="G498" s="7"/>
      <c r="H498" s="7"/>
      <c r="I498" s="7">
        <f>295-0.3</f>
        <v>294.7</v>
      </c>
      <c r="J498" s="14"/>
      <c r="K498" s="249"/>
    </row>
    <row r="499" spans="1:32" ht="15" x14ac:dyDescent="0.25">
      <c r="A499" s="586"/>
      <c r="B499" s="258"/>
      <c r="C499" s="261"/>
      <c r="D499" s="249"/>
      <c r="E499" s="222">
        <v>2017</v>
      </c>
      <c r="F499" s="7">
        <f t="shared" si="98"/>
        <v>0</v>
      </c>
      <c r="G499" s="7"/>
      <c r="H499" s="7"/>
      <c r="I499" s="7">
        <f>240.5-240.5</f>
        <v>0</v>
      </c>
      <c r="J499" s="14"/>
      <c r="K499" s="249"/>
      <c r="L499" s="99" t="s">
        <v>359</v>
      </c>
      <c r="N499" s="99"/>
      <c r="O499" s="99"/>
    </row>
    <row r="500" spans="1:32" ht="15" x14ac:dyDescent="0.25">
      <c r="A500" s="586"/>
      <c r="B500" s="258"/>
      <c r="C500" s="261"/>
      <c r="D500" s="249"/>
      <c r="E500" s="222">
        <v>2018</v>
      </c>
      <c r="F500" s="7">
        <f t="shared" si="98"/>
        <v>0</v>
      </c>
      <c r="G500" s="7"/>
      <c r="H500" s="7"/>
      <c r="I500" s="7">
        <v>0</v>
      </c>
      <c r="J500" s="14"/>
      <c r="K500" s="249"/>
      <c r="L500" s="99"/>
      <c r="N500" s="99"/>
      <c r="O500" s="99"/>
    </row>
    <row r="501" spans="1:32" ht="15" x14ac:dyDescent="0.25">
      <c r="A501" s="586"/>
      <c r="B501" s="258"/>
      <c r="C501" s="261"/>
      <c r="D501" s="249"/>
      <c r="E501" s="222">
        <v>2019</v>
      </c>
      <c r="F501" s="7">
        <f t="shared" si="98"/>
        <v>0</v>
      </c>
      <c r="G501" s="7"/>
      <c r="H501" s="7"/>
      <c r="I501" s="7">
        <v>0</v>
      </c>
      <c r="J501" s="14"/>
      <c r="K501" s="249"/>
      <c r="L501" s="99"/>
    </row>
    <row r="502" spans="1:32" ht="15" x14ac:dyDescent="0.25">
      <c r="A502" s="586"/>
      <c r="B502" s="258"/>
      <c r="C502" s="261"/>
      <c r="D502" s="249"/>
      <c r="E502" s="222">
        <v>2020</v>
      </c>
      <c r="F502" s="7">
        <f t="shared" si="98"/>
        <v>0</v>
      </c>
      <c r="G502" s="7"/>
      <c r="H502" s="7"/>
      <c r="I502" s="7">
        <v>0</v>
      </c>
      <c r="J502" s="14"/>
      <c r="K502" s="249"/>
    </row>
    <row r="503" spans="1:32" ht="59.25" customHeight="1" thickBot="1" x14ac:dyDescent="0.25">
      <c r="A503" s="586"/>
      <c r="B503" s="259"/>
      <c r="C503" s="261"/>
      <c r="D503" s="249"/>
      <c r="E503" s="26" t="s">
        <v>18</v>
      </c>
      <c r="F503" s="9">
        <f>SUM(F497:F502)</f>
        <v>569.70000000000005</v>
      </c>
      <c r="G503" s="9"/>
      <c r="H503" s="9">
        <f>SUM(H497:H502)</f>
        <v>0</v>
      </c>
      <c r="I503" s="9">
        <f>SUM(I497:I502)</f>
        <v>569.70000000000005</v>
      </c>
      <c r="J503" s="22"/>
      <c r="K503" s="249"/>
      <c r="L503" s="126"/>
      <c r="M503" s="127"/>
    </row>
    <row r="504" spans="1:32" ht="15.75" thickBot="1" x14ac:dyDescent="0.3">
      <c r="A504" s="311" t="s">
        <v>188</v>
      </c>
      <c r="B504" s="366"/>
      <c r="C504" s="366"/>
      <c r="D504" s="366"/>
      <c r="E504" s="93"/>
      <c r="F504" s="149">
        <f>SUM(F503)</f>
        <v>569.70000000000005</v>
      </c>
      <c r="G504" s="148"/>
      <c r="H504" s="149">
        <f>SUM(H503)</f>
        <v>0</v>
      </c>
      <c r="I504" s="149">
        <f>SUM(I503)</f>
        <v>569.70000000000005</v>
      </c>
      <c r="J504" s="102"/>
      <c r="K504" s="103"/>
    </row>
    <row r="505" spans="1:32" ht="16.5" thickBot="1" x14ac:dyDescent="0.25">
      <c r="A505" s="254" t="s">
        <v>181</v>
      </c>
      <c r="B505" s="255"/>
      <c r="C505" s="255"/>
      <c r="D505" s="255"/>
      <c r="E505" s="255"/>
      <c r="F505" s="255"/>
      <c r="G505" s="255"/>
      <c r="H505" s="255"/>
      <c r="I505" s="255"/>
      <c r="J505" s="255"/>
      <c r="K505" s="256"/>
      <c r="L505" s="55"/>
      <c r="M505" s="55"/>
      <c r="N505" s="55"/>
      <c r="O505" s="55"/>
      <c r="P505" s="55"/>
      <c r="Q505" s="55"/>
      <c r="R505" s="55"/>
      <c r="S505" s="55"/>
      <c r="T505" s="55"/>
      <c r="U505" s="55"/>
      <c r="V505" s="55"/>
      <c r="W505" s="55"/>
      <c r="X505" s="55"/>
      <c r="Y505" s="55"/>
      <c r="Z505" s="55"/>
      <c r="AA505" s="55"/>
      <c r="AB505" s="55"/>
      <c r="AC505" s="55"/>
      <c r="AD505" s="55"/>
      <c r="AE505" s="55"/>
      <c r="AF505" s="56"/>
    </row>
    <row r="506" spans="1:32" ht="15" x14ac:dyDescent="0.25">
      <c r="A506" s="361" t="s">
        <v>146</v>
      </c>
      <c r="B506" s="469" t="s">
        <v>223</v>
      </c>
      <c r="C506" s="290" t="s">
        <v>397</v>
      </c>
      <c r="D506" s="249" t="s">
        <v>449</v>
      </c>
      <c r="E506" s="208">
        <v>2015</v>
      </c>
      <c r="F506" s="143">
        <f t="shared" ref="F506:F511" si="99">SUM(G506:J506)</f>
        <v>1715</v>
      </c>
      <c r="G506" s="143"/>
      <c r="H506" s="143">
        <v>1715</v>
      </c>
      <c r="I506" s="12"/>
      <c r="J506" s="12"/>
      <c r="K506" s="249" t="s">
        <v>147</v>
      </c>
    </row>
    <row r="507" spans="1:32" ht="15" x14ac:dyDescent="0.25">
      <c r="A507" s="362"/>
      <c r="B507" s="297"/>
      <c r="C507" s="261"/>
      <c r="D507" s="249"/>
      <c r="E507" s="222">
        <v>2016</v>
      </c>
      <c r="F507" s="7">
        <f t="shared" si="99"/>
        <v>931.30000000000018</v>
      </c>
      <c r="G507" s="7"/>
      <c r="H507" s="7">
        <f>2151.3-1220</f>
        <v>931.30000000000018</v>
      </c>
      <c r="I507" s="14"/>
      <c r="J507" s="14"/>
      <c r="K507" s="585"/>
      <c r="L507" s="99"/>
    </row>
    <row r="508" spans="1:32" ht="15" x14ac:dyDescent="0.25">
      <c r="A508" s="362"/>
      <c r="B508" s="297"/>
      <c r="C508" s="261"/>
      <c r="D508" s="249"/>
      <c r="E508" s="222">
        <v>2017</v>
      </c>
      <c r="F508" s="7">
        <f t="shared" si="99"/>
        <v>1100</v>
      </c>
      <c r="G508" s="7"/>
      <c r="H508" s="7">
        <v>1100</v>
      </c>
      <c r="I508" s="14"/>
      <c r="J508" s="14"/>
      <c r="K508" s="585"/>
      <c r="L508" s="99"/>
      <c r="M508" s="106"/>
    </row>
    <row r="509" spans="1:32" ht="15" x14ac:dyDescent="0.25">
      <c r="A509" s="362"/>
      <c r="B509" s="297"/>
      <c r="C509" s="261"/>
      <c r="D509" s="249"/>
      <c r="E509" s="222">
        <v>2018</v>
      </c>
      <c r="F509" s="7">
        <f t="shared" si="99"/>
        <v>850</v>
      </c>
      <c r="G509" s="7"/>
      <c r="H509" s="7">
        <v>850</v>
      </c>
      <c r="I509" s="14"/>
      <c r="J509" s="14"/>
      <c r="K509" s="585"/>
      <c r="L509" s="99"/>
      <c r="M509" s="106"/>
    </row>
    <row r="510" spans="1:32" ht="15" x14ac:dyDescent="0.25">
      <c r="A510" s="362"/>
      <c r="B510" s="297"/>
      <c r="C510" s="261"/>
      <c r="D510" s="249"/>
      <c r="E510" s="222">
        <v>2019</v>
      </c>
      <c r="F510" s="7">
        <f t="shared" si="99"/>
        <v>392.4</v>
      </c>
      <c r="G510" s="7"/>
      <c r="H510" s="7">
        <f>1000-607.6</f>
        <v>392.4</v>
      </c>
      <c r="I510" s="14"/>
      <c r="J510" s="14"/>
      <c r="K510" s="585"/>
      <c r="L510" s="99"/>
      <c r="M510" s="106"/>
    </row>
    <row r="511" spans="1:32" ht="15" x14ac:dyDescent="0.25">
      <c r="A511" s="362"/>
      <c r="B511" s="297"/>
      <c r="C511" s="261"/>
      <c r="D511" s="249"/>
      <c r="E511" s="222">
        <v>2020</v>
      </c>
      <c r="F511" s="7">
        <f t="shared" si="99"/>
        <v>1036</v>
      </c>
      <c r="G511" s="7"/>
      <c r="H511" s="7">
        <f>1080.1-44.1</f>
        <v>1036</v>
      </c>
      <c r="I511" s="14"/>
      <c r="J511" s="14"/>
      <c r="K511" s="585"/>
    </row>
    <row r="512" spans="1:32" ht="15" x14ac:dyDescent="0.25">
      <c r="A512" s="362"/>
      <c r="B512" s="569"/>
      <c r="C512" s="261"/>
      <c r="D512" s="249"/>
      <c r="E512" s="222">
        <v>2021</v>
      </c>
      <c r="F512" s="7">
        <f t="shared" ref="F512:F516" si="100">SUM(G512:J512)</f>
        <v>1404</v>
      </c>
      <c r="G512" s="7"/>
      <c r="H512" s="7">
        <f>1150+254</f>
        <v>1404</v>
      </c>
      <c r="I512" s="14"/>
      <c r="J512" s="14"/>
      <c r="K512" s="585"/>
      <c r="L512" s="99"/>
    </row>
    <row r="513" spans="1:32" ht="15" x14ac:dyDescent="0.25">
      <c r="A513" s="362"/>
      <c r="B513" s="569"/>
      <c r="C513" s="261"/>
      <c r="D513" s="249"/>
      <c r="E513" s="222">
        <v>2022</v>
      </c>
      <c r="F513" s="7">
        <f t="shared" si="100"/>
        <v>1404</v>
      </c>
      <c r="G513" s="7"/>
      <c r="H513" s="7">
        <f>1300+46.6+57.4</f>
        <v>1404</v>
      </c>
      <c r="I513" s="14"/>
      <c r="J513" s="14"/>
      <c r="K513" s="585"/>
      <c r="L513" s="99"/>
      <c r="M513" s="106"/>
    </row>
    <row r="514" spans="1:32" ht="15" x14ac:dyDescent="0.25">
      <c r="A514" s="362"/>
      <c r="B514" s="569"/>
      <c r="C514" s="261"/>
      <c r="D514" s="249"/>
      <c r="E514" s="222">
        <v>2023</v>
      </c>
      <c r="F514" s="7">
        <f t="shared" si="100"/>
        <v>1404</v>
      </c>
      <c r="G514" s="7"/>
      <c r="H514" s="7">
        <f>1360+44</f>
        <v>1404</v>
      </c>
      <c r="I514" s="14"/>
      <c r="J514" s="14"/>
      <c r="K514" s="585"/>
      <c r="L514" s="99"/>
      <c r="M514" s="106"/>
    </row>
    <row r="515" spans="1:32" ht="15" x14ac:dyDescent="0.25">
      <c r="A515" s="362"/>
      <c r="B515" s="569"/>
      <c r="C515" s="261"/>
      <c r="D515" s="249"/>
      <c r="E515" s="222">
        <v>2024</v>
      </c>
      <c r="F515" s="7">
        <f t="shared" si="100"/>
        <v>1422</v>
      </c>
      <c r="G515" s="7"/>
      <c r="H515" s="7">
        <v>1422</v>
      </c>
      <c r="I515" s="14"/>
      <c r="J515" s="14"/>
      <c r="K515" s="585"/>
      <c r="L515" s="99"/>
      <c r="M515" s="106"/>
    </row>
    <row r="516" spans="1:32" ht="15" x14ac:dyDescent="0.25">
      <c r="A516" s="362"/>
      <c r="B516" s="569"/>
      <c r="C516" s="261"/>
      <c r="D516" s="249"/>
      <c r="E516" s="222">
        <v>2025</v>
      </c>
      <c r="F516" s="7">
        <f t="shared" si="100"/>
        <v>1488</v>
      </c>
      <c r="G516" s="7"/>
      <c r="H516" s="7">
        <v>1488</v>
      </c>
      <c r="I516" s="14"/>
      <c r="J516" s="14"/>
      <c r="K516" s="585"/>
    </row>
    <row r="517" spans="1:32" ht="63.75" customHeight="1" x14ac:dyDescent="0.2">
      <c r="A517" s="362"/>
      <c r="B517" s="569"/>
      <c r="C517" s="261"/>
      <c r="D517" s="249"/>
      <c r="E517" s="26" t="s">
        <v>18</v>
      </c>
      <c r="F517" s="9">
        <f>SUM(F506:F516)</f>
        <v>13146.7</v>
      </c>
      <c r="G517" s="9"/>
      <c r="H517" s="9">
        <f>SUM(H506:H516)</f>
        <v>13146.7</v>
      </c>
      <c r="I517" s="22"/>
      <c r="J517" s="22"/>
      <c r="K517" s="585"/>
      <c r="L517" s="126"/>
      <c r="M517" s="127"/>
    </row>
    <row r="518" spans="1:32" ht="18" customHeight="1" thickBot="1" x14ac:dyDescent="0.25">
      <c r="A518" s="299" t="s">
        <v>207</v>
      </c>
      <c r="B518" s="299"/>
      <c r="C518" s="299"/>
      <c r="D518" s="299"/>
      <c r="E518" s="213"/>
      <c r="F518" s="152">
        <f>F517</f>
        <v>13146.7</v>
      </c>
      <c r="G518" s="153"/>
      <c r="H518" s="152">
        <f>H517</f>
        <v>13146.7</v>
      </c>
      <c r="I518" s="213"/>
      <c r="J518" s="213"/>
      <c r="K518" s="213"/>
    </row>
    <row r="519" spans="1:32" ht="16.5" thickBot="1" x14ac:dyDescent="0.25">
      <c r="A519" s="254" t="s">
        <v>389</v>
      </c>
      <c r="B519" s="255"/>
      <c r="C519" s="255"/>
      <c r="D519" s="255"/>
      <c r="E519" s="255"/>
      <c r="F519" s="255"/>
      <c r="G519" s="255"/>
      <c r="H519" s="255"/>
      <c r="I519" s="255"/>
      <c r="J519" s="255"/>
      <c r="K519" s="256"/>
      <c r="L519" s="55"/>
      <c r="M519" s="55"/>
      <c r="N519" s="55"/>
      <c r="O519" s="55"/>
      <c r="P519" s="55"/>
      <c r="Q519" s="55"/>
      <c r="R519" s="55"/>
      <c r="S519" s="55"/>
      <c r="T519" s="55"/>
      <c r="U519" s="55"/>
      <c r="V519" s="55"/>
      <c r="W519" s="55"/>
      <c r="X519" s="55"/>
      <c r="Y519" s="55"/>
      <c r="Z519" s="55"/>
      <c r="AA519" s="55"/>
      <c r="AB519" s="55"/>
      <c r="AC519" s="55"/>
      <c r="AD519" s="55"/>
      <c r="AE519" s="55"/>
      <c r="AF519" s="56"/>
    </row>
    <row r="520" spans="1:32" ht="12.75" customHeight="1" x14ac:dyDescent="0.25">
      <c r="A520" s="507" t="s">
        <v>390</v>
      </c>
      <c r="B520" s="287" t="s">
        <v>290</v>
      </c>
      <c r="C520" s="272" t="s">
        <v>396</v>
      </c>
      <c r="D520" s="260" t="s">
        <v>298</v>
      </c>
      <c r="E520" s="222">
        <v>2017</v>
      </c>
      <c r="F520" s="7">
        <f t="shared" ref="F520:F523" si="101">SUM(G520:I520)</f>
        <v>12698.3</v>
      </c>
      <c r="G520" s="7"/>
      <c r="H520" s="7"/>
      <c r="I520" s="7">
        <f>12064+626.3+8</f>
        <v>12698.3</v>
      </c>
      <c r="J520" s="14"/>
      <c r="K520" s="513" t="s">
        <v>439</v>
      </c>
      <c r="L520" s="104" t="s">
        <v>338</v>
      </c>
      <c r="M520" s="104"/>
      <c r="N520" s="28"/>
      <c r="O520" s="28"/>
      <c r="P520" s="28"/>
      <c r="Q520" s="28"/>
      <c r="R520" s="28"/>
      <c r="S520" s="28"/>
      <c r="T520" s="28"/>
      <c r="U520" s="28"/>
      <c r="V520" s="28"/>
      <c r="W520" s="28"/>
      <c r="X520" s="28"/>
      <c r="Y520" s="28"/>
      <c r="Z520" s="28"/>
      <c r="AA520" s="28"/>
      <c r="AB520" s="28"/>
      <c r="AC520" s="28"/>
      <c r="AD520" s="28"/>
      <c r="AE520" s="28"/>
      <c r="AF520" s="28"/>
    </row>
    <row r="521" spans="1:32" ht="12.75" customHeight="1" x14ac:dyDescent="0.25">
      <c r="A521" s="507"/>
      <c r="B521" s="470"/>
      <c r="C521" s="272"/>
      <c r="D521" s="260"/>
      <c r="E521" s="222">
        <v>2018</v>
      </c>
      <c r="F521" s="7">
        <f t="shared" si="101"/>
        <v>10661.1</v>
      </c>
      <c r="G521" s="7"/>
      <c r="H521" s="7"/>
      <c r="I521" s="7">
        <f>8500+2161.1</f>
        <v>10661.1</v>
      </c>
      <c r="J521" s="14"/>
      <c r="K521" s="587"/>
      <c r="L521" s="46"/>
      <c r="M521" s="28"/>
      <c r="N521" s="28"/>
      <c r="O521" s="28"/>
      <c r="P521" s="28"/>
      <c r="Q521" s="28"/>
      <c r="R521" s="28"/>
      <c r="S521" s="28"/>
      <c r="T521" s="28"/>
      <c r="U521" s="28"/>
      <c r="V521" s="28"/>
      <c r="W521" s="28"/>
      <c r="X521" s="28"/>
      <c r="Y521" s="28"/>
      <c r="Z521" s="28"/>
      <c r="AA521" s="28"/>
      <c r="AB521" s="28"/>
      <c r="AC521" s="28"/>
      <c r="AD521" s="28"/>
      <c r="AE521" s="28"/>
      <c r="AF521" s="28"/>
    </row>
    <row r="522" spans="1:32" ht="12.75" customHeight="1" x14ac:dyDescent="0.25">
      <c r="A522" s="507"/>
      <c r="B522" s="470"/>
      <c r="C522" s="272"/>
      <c r="D522" s="260"/>
      <c r="E522" s="222">
        <v>2019</v>
      </c>
      <c r="F522" s="7">
        <f t="shared" si="101"/>
        <v>8795.1</v>
      </c>
      <c r="G522" s="7"/>
      <c r="H522" s="7"/>
      <c r="I522" s="7">
        <f>5650+986.8+2158.3</f>
        <v>8795.1</v>
      </c>
      <c r="J522" s="14"/>
      <c r="K522" s="587"/>
      <c r="L522" s="104"/>
      <c r="M522" s="104"/>
      <c r="N522" s="28"/>
      <c r="O522" s="28"/>
      <c r="P522" s="104"/>
      <c r="Q522" s="28"/>
      <c r="R522" s="28"/>
      <c r="S522" s="28"/>
      <c r="T522" s="28"/>
      <c r="U522" s="28"/>
      <c r="V522" s="28"/>
      <c r="W522" s="28"/>
      <c r="X522" s="28"/>
      <c r="Y522" s="28"/>
      <c r="Z522" s="28"/>
      <c r="AA522" s="28"/>
      <c r="AB522" s="28"/>
      <c r="AC522" s="28"/>
      <c r="AD522" s="28"/>
      <c r="AE522" s="28"/>
      <c r="AF522" s="28"/>
    </row>
    <row r="523" spans="1:32" ht="12.75" customHeight="1" x14ac:dyDescent="0.25">
      <c r="A523" s="507"/>
      <c r="B523" s="470"/>
      <c r="C523" s="272"/>
      <c r="D523" s="260"/>
      <c r="E523" s="222">
        <v>2020</v>
      </c>
      <c r="F523" s="7">
        <f t="shared" si="101"/>
        <v>12500.7</v>
      </c>
      <c r="G523" s="7"/>
      <c r="H523" s="7"/>
      <c r="I523" s="7">
        <f>7493.4+5007.3</f>
        <v>12500.7</v>
      </c>
      <c r="J523" s="14"/>
      <c r="K523" s="587"/>
      <c r="L523" s="104"/>
      <c r="M523" s="104"/>
      <c r="N523" s="28" t="s">
        <v>418</v>
      </c>
      <c r="O523" s="28" t="s">
        <v>441</v>
      </c>
      <c r="P523" s="28" t="s">
        <v>442</v>
      </c>
      <c r="Q523" s="28"/>
      <c r="R523" s="28"/>
      <c r="S523" s="28"/>
      <c r="T523" s="28"/>
      <c r="U523" s="28"/>
      <c r="V523" s="28"/>
      <c r="W523" s="28"/>
      <c r="X523" s="28"/>
      <c r="Y523" s="28"/>
      <c r="Z523" s="28"/>
      <c r="AA523" s="28"/>
      <c r="AB523" s="28"/>
      <c r="AC523" s="28"/>
      <c r="AD523" s="28"/>
      <c r="AE523" s="28"/>
      <c r="AF523" s="28"/>
    </row>
    <row r="524" spans="1:32" ht="12.75" customHeight="1" x14ac:dyDescent="0.25">
      <c r="A524" s="507"/>
      <c r="B524" s="470"/>
      <c r="C524" s="272"/>
      <c r="D524" s="260"/>
      <c r="E524" s="222">
        <v>2021</v>
      </c>
      <c r="F524" s="7">
        <f t="shared" ref="F524:F527" si="102">SUM(G524:I524)</f>
        <v>19276.8</v>
      </c>
      <c r="G524" s="7"/>
      <c r="H524" s="7"/>
      <c r="I524" s="7">
        <f>2493+16783.8</f>
        <v>19276.8</v>
      </c>
      <c r="J524" s="14"/>
      <c r="K524" s="587"/>
      <c r="L524" s="104" t="s">
        <v>338</v>
      </c>
      <c r="M524" s="104">
        <v>2020</v>
      </c>
      <c r="N524" s="124">
        <f>O524+P524</f>
        <v>958362.50000000012</v>
      </c>
      <c r="O524" s="124">
        <f>H511+H447+H409+H397+H375+H365+H345+H335+H310+H295+H279+H249+H222</f>
        <v>824454.10000000009</v>
      </c>
      <c r="P524" s="124">
        <f>I523+I502+I488+I478+I457+I439+I428+I397+I335+I320+I310+I295+I286+I279+I249+I222</f>
        <v>133908.4</v>
      </c>
      <c r="Q524" s="28"/>
      <c r="R524" s="28"/>
      <c r="S524" s="28"/>
      <c r="T524" s="28"/>
      <c r="U524" s="28"/>
      <c r="V524" s="28"/>
      <c r="W524" s="28"/>
      <c r="X524" s="28"/>
      <c r="Y524" s="28"/>
      <c r="Z524" s="28"/>
      <c r="AA524" s="28"/>
      <c r="AB524" s="28"/>
      <c r="AC524" s="28"/>
      <c r="AD524" s="28"/>
      <c r="AE524" s="28"/>
      <c r="AF524" s="28"/>
    </row>
    <row r="525" spans="1:32" ht="12.75" customHeight="1" x14ac:dyDescent="0.25">
      <c r="A525" s="507"/>
      <c r="B525" s="470"/>
      <c r="C525" s="272"/>
      <c r="D525" s="260"/>
      <c r="E525" s="222">
        <v>2022</v>
      </c>
      <c r="F525" s="7">
        <f t="shared" si="102"/>
        <v>0</v>
      </c>
      <c r="G525" s="7"/>
      <c r="H525" s="7"/>
      <c r="I525" s="7">
        <f>2280-2280</f>
        <v>0</v>
      </c>
      <c r="J525" s="14"/>
      <c r="K525" s="587"/>
      <c r="L525" s="46"/>
      <c r="M525" s="28">
        <v>2021</v>
      </c>
      <c r="N525" s="124">
        <f t="shared" ref="N525:N529" si="103">O525+P525</f>
        <v>716020.40000000014</v>
      </c>
      <c r="O525" s="124">
        <f>H512+H448+H410+H398+H376+H366+H346+H336+H311+H296+H280+H250+H223</f>
        <v>575579.90000000014</v>
      </c>
      <c r="P525" s="124">
        <f>I524+I489+I479+I440+I429+I398+I336+I321+I311+I296+I287+I280+I250+I223</f>
        <v>140440.5</v>
      </c>
      <c r="Q525" s="28"/>
      <c r="R525" s="28"/>
      <c r="S525" s="28"/>
      <c r="T525" s="28"/>
      <c r="U525" s="28"/>
      <c r="V525" s="28"/>
      <c r="W525" s="28"/>
      <c r="X525" s="28"/>
      <c r="Y525" s="28"/>
      <c r="Z525" s="28"/>
      <c r="AA525" s="28"/>
      <c r="AB525" s="28"/>
      <c r="AC525" s="28"/>
      <c r="AD525" s="28"/>
      <c r="AE525" s="28"/>
      <c r="AF525" s="28"/>
    </row>
    <row r="526" spans="1:32" ht="12.75" customHeight="1" x14ac:dyDescent="0.25">
      <c r="A526" s="507"/>
      <c r="B526" s="470"/>
      <c r="C526" s="272"/>
      <c r="D526" s="260"/>
      <c r="E526" s="222">
        <v>2023</v>
      </c>
      <c r="F526" s="7">
        <f t="shared" si="102"/>
        <v>0</v>
      </c>
      <c r="G526" s="7"/>
      <c r="H526" s="7"/>
      <c r="I526" s="7">
        <f>2371-2371</f>
        <v>0</v>
      </c>
      <c r="J526" s="14"/>
      <c r="K526" s="587"/>
      <c r="L526" s="104"/>
      <c r="M526" s="104">
        <v>2022</v>
      </c>
      <c r="N526" s="124">
        <f t="shared" si="103"/>
        <v>689268.6</v>
      </c>
      <c r="O526" s="124">
        <f>H513+H449+H411+H399+H377+H367+H347+H337+H312+H297+H251+H224</f>
        <v>652360.6</v>
      </c>
      <c r="P526" s="225">
        <f>I525+I490+I480+I459+I430+I399+I337+I322+I312+I297+I251+I224</f>
        <v>36908</v>
      </c>
      <c r="Q526" s="28"/>
      <c r="R526" s="28"/>
      <c r="S526" s="28"/>
      <c r="T526" s="28"/>
      <c r="U526" s="28"/>
      <c r="V526" s="28"/>
      <c r="W526" s="28"/>
      <c r="X526" s="28"/>
      <c r="Y526" s="28"/>
      <c r="Z526" s="28"/>
      <c r="AA526" s="28"/>
      <c r="AB526" s="28"/>
      <c r="AC526" s="28"/>
      <c r="AD526" s="28"/>
      <c r="AE526" s="28"/>
      <c r="AF526" s="28"/>
    </row>
    <row r="527" spans="1:32" ht="12.75" customHeight="1" x14ac:dyDescent="0.25">
      <c r="A527" s="507"/>
      <c r="B527" s="470"/>
      <c r="C527" s="272"/>
      <c r="D527" s="260"/>
      <c r="E527" s="222">
        <v>2024</v>
      </c>
      <c r="F527" s="7">
        <f t="shared" si="102"/>
        <v>2466</v>
      </c>
      <c r="G527" s="7"/>
      <c r="H527" s="7"/>
      <c r="I527" s="7">
        <v>2466</v>
      </c>
      <c r="J527" s="14"/>
      <c r="K527" s="587"/>
      <c r="L527" s="104"/>
      <c r="M527" s="104">
        <v>2023</v>
      </c>
      <c r="N527" s="124">
        <f t="shared" si="103"/>
        <v>670885.1</v>
      </c>
      <c r="O527" s="124">
        <f>H514+H450+H412+H400+H378+H368+H348+H338+H313+H298+H225</f>
        <v>655864.29999999993</v>
      </c>
      <c r="P527" s="124">
        <f>I526+I491+I481+I431+I338+I298+I225</f>
        <v>15020.800000000001</v>
      </c>
      <c r="Q527" s="28"/>
      <c r="R527" s="28"/>
      <c r="S527" s="28"/>
      <c r="T527" s="28"/>
      <c r="U527" s="28"/>
      <c r="V527" s="28"/>
      <c r="W527" s="28"/>
      <c r="X527" s="28"/>
      <c r="Y527" s="28"/>
      <c r="Z527" s="28"/>
      <c r="AA527" s="28"/>
      <c r="AB527" s="28"/>
      <c r="AC527" s="28"/>
      <c r="AD527" s="28"/>
      <c r="AE527" s="28"/>
      <c r="AF527" s="28"/>
    </row>
    <row r="528" spans="1:32" ht="12.75" customHeight="1" x14ac:dyDescent="0.25">
      <c r="A528" s="507"/>
      <c r="B528" s="470"/>
      <c r="C528" s="272"/>
      <c r="D528" s="260"/>
      <c r="E528" s="222">
        <v>2025</v>
      </c>
      <c r="F528" s="7">
        <f t="shared" ref="F528" si="104">SUM(G528:I528)</f>
        <v>2564</v>
      </c>
      <c r="G528" s="7"/>
      <c r="H528" s="7"/>
      <c r="I528" s="7">
        <v>2564</v>
      </c>
      <c r="J528" s="14"/>
      <c r="K528" s="587"/>
      <c r="L528" s="104"/>
      <c r="M528" s="104">
        <v>2024</v>
      </c>
      <c r="N528" s="124">
        <f t="shared" si="103"/>
        <v>1516768.5999999999</v>
      </c>
      <c r="O528" s="124">
        <f>H515+H451+H413+H401+H379+H369+H349+H339+H314+H299+H226</f>
        <v>1490975.2</v>
      </c>
      <c r="P528" s="124">
        <f>I527+I492+I482+I461+I432+I339+I299+I226</f>
        <v>25793.4</v>
      </c>
      <c r="Q528" s="28"/>
      <c r="R528" s="28"/>
      <c r="S528" s="28"/>
      <c r="T528" s="28"/>
      <c r="U528" s="28"/>
      <c r="V528" s="28"/>
      <c r="W528" s="28"/>
      <c r="X528" s="28"/>
      <c r="Y528" s="28"/>
      <c r="Z528" s="28"/>
      <c r="AA528" s="28"/>
      <c r="AB528" s="28"/>
      <c r="AC528" s="28"/>
      <c r="AD528" s="28"/>
      <c r="AE528" s="28"/>
      <c r="AF528" s="28"/>
    </row>
    <row r="529" spans="1:35" ht="36" customHeight="1" x14ac:dyDescent="0.2">
      <c r="A529" s="507"/>
      <c r="B529" s="470"/>
      <c r="C529" s="272"/>
      <c r="D529" s="260"/>
      <c r="E529" s="26" t="s">
        <v>18</v>
      </c>
      <c r="F529" s="9">
        <f>SUM(F520:F528)</f>
        <v>68962</v>
      </c>
      <c r="G529" s="9"/>
      <c r="H529" s="9"/>
      <c r="I529" s="9">
        <f>SUM(I520:I528)</f>
        <v>68962</v>
      </c>
      <c r="J529" s="22"/>
      <c r="K529" s="588"/>
      <c r="M529" s="104">
        <v>2025</v>
      </c>
      <c r="N529" s="124">
        <f t="shared" si="103"/>
        <v>1781941.7000000002</v>
      </c>
      <c r="O529" s="107">
        <f>H516+H452+H414+H402+H380+H370+H350+H340+H315+H300+H227</f>
        <v>1753112.1</v>
      </c>
      <c r="P529" s="107">
        <f>I528+I493+I483+I433+I340+I300+I227</f>
        <v>28829.599999999999</v>
      </c>
    </row>
    <row r="530" spans="1:35" ht="47.25" customHeight="1" thickBot="1" x14ac:dyDescent="0.3">
      <c r="A530" s="525" t="s">
        <v>208</v>
      </c>
      <c r="B530" s="525"/>
      <c r="C530" s="525"/>
      <c r="D530" s="526"/>
      <c r="E530" s="169" t="s">
        <v>395</v>
      </c>
      <c r="F530" s="169" t="s">
        <v>18</v>
      </c>
      <c r="G530" s="169" t="s">
        <v>10</v>
      </c>
      <c r="H530" s="170" t="s">
        <v>11</v>
      </c>
      <c r="I530" s="170" t="s">
        <v>12</v>
      </c>
      <c r="J530" s="170" t="s">
        <v>13</v>
      </c>
      <c r="K530" s="171"/>
    </row>
    <row r="531" spans="1:35" ht="15" thickBot="1" x14ac:dyDescent="0.25">
      <c r="A531" s="527"/>
      <c r="B531" s="527"/>
      <c r="C531" s="527"/>
      <c r="D531" s="528"/>
      <c r="E531" s="172"/>
      <c r="F531" s="173">
        <f>SUM(G531:J531)</f>
        <v>10335286.199999997</v>
      </c>
      <c r="G531" s="173">
        <f>G517+G504+G495+G471+G389+G327</f>
        <v>177399.1</v>
      </c>
      <c r="H531" s="173">
        <f>H517+H504+H495+H471+H389+H327</f>
        <v>9269618.3999999985</v>
      </c>
      <c r="I531" s="173">
        <f>I517+I504+I495+I471+I389+I327+I529</f>
        <v>888268.7</v>
      </c>
      <c r="J531" s="174"/>
      <c r="K531" s="175"/>
    </row>
    <row r="532" spans="1:35" ht="41.25" customHeight="1" x14ac:dyDescent="0.2">
      <c r="A532" s="337" t="s">
        <v>215</v>
      </c>
      <c r="B532" s="338"/>
      <c r="C532" s="338"/>
      <c r="D532" s="338"/>
      <c r="E532" s="338"/>
      <c r="F532" s="338"/>
      <c r="G532" s="338"/>
      <c r="H532" s="338"/>
      <c r="I532" s="338"/>
      <c r="J532" s="338"/>
      <c r="K532" s="338"/>
      <c r="L532" s="38"/>
      <c r="M532" s="38"/>
      <c r="N532" s="38"/>
      <c r="O532" s="38"/>
      <c r="P532" s="38"/>
      <c r="Q532" s="38"/>
      <c r="R532" s="38"/>
      <c r="S532" s="38"/>
      <c r="T532" s="38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F532" s="38"/>
      <c r="AG532" s="38"/>
      <c r="AH532" s="38"/>
      <c r="AI532" s="39"/>
    </row>
    <row r="533" spans="1:35" ht="35.25" customHeight="1" x14ac:dyDescent="0.2">
      <c r="A533" s="359" t="s">
        <v>182</v>
      </c>
      <c r="B533" s="360"/>
      <c r="C533" s="360"/>
      <c r="D533" s="360"/>
      <c r="E533" s="360"/>
      <c r="F533" s="360"/>
      <c r="G533" s="360"/>
      <c r="H533" s="360"/>
      <c r="I533" s="360"/>
      <c r="J533" s="360"/>
      <c r="K533" s="360"/>
      <c r="L533" s="57"/>
      <c r="M533" s="57"/>
      <c r="N533" s="57"/>
      <c r="O533" s="57"/>
      <c r="P533" s="57"/>
      <c r="Q533" s="57"/>
      <c r="R533" s="57"/>
      <c r="S533" s="57"/>
      <c r="T533" s="57"/>
      <c r="U533" s="57"/>
      <c r="V533" s="57"/>
      <c r="W533" s="57"/>
      <c r="X533" s="57"/>
      <c r="Y533" s="57"/>
      <c r="Z533" s="57"/>
      <c r="AA533" s="57"/>
      <c r="AB533" s="57"/>
      <c r="AC533" s="57"/>
      <c r="AD533" s="57"/>
      <c r="AE533" s="57"/>
      <c r="AF533" s="57"/>
      <c r="AG533" s="57"/>
      <c r="AH533" s="57"/>
      <c r="AI533" s="58"/>
    </row>
    <row r="534" spans="1:35" x14ac:dyDescent="0.2">
      <c r="A534" s="589" t="s">
        <v>100</v>
      </c>
      <c r="B534" s="280" t="s">
        <v>69</v>
      </c>
      <c r="C534" s="276" t="s">
        <v>68</v>
      </c>
      <c r="D534" s="248" t="s">
        <v>452</v>
      </c>
      <c r="E534" s="222">
        <v>2015</v>
      </c>
      <c r="F534" s="222"/>
      <c r="G534" s="222"/>
      <c r="H534" s="222"/>
      <c r="I534" s="222"/>
      <c r="J534" s="222"/>
      <c r="K534" s="248" t="s">
        <v>148</v>
      </c>
    </row>
    <row r="535" spans="1:35" x14ac:dyDescent="0.2">
      <c r="A535" s="362"/>
      <c r="B535" s="321"/>
      <c r="C535" s="261"/>
      <c r="D535" s="249"/>
      <c r="E535" s="222">
        <v>2016</v>
      </c>
      <c r="F535" s="222"/>
      <c r="G535" s="222"/>
      <c r="H535" s="222"/>
      <c r="I535" s="222"/>
      <c r="J535" s="222"/>
      <c r="K535" s="249"/>
    </row>
    <row r="536" spans="1:35" x14ac:dyDescent="0.2">
      <c r="A536" s="362"/>
      <c r="B536" s="321"/>
      <c r="C536" s="261"/>
      <c r="D536" s="249"/>
      <c r="E536" s="222">
        <v>2017</v>
      </c>
      <c r="F536" s="222"/>
      <c r="G536" s="222"/>
      <c r="H536" s="222"/>
      <c r="I536" s="222"/>
      <c r="J536" s="222"/>
      <c r="K536" s="249"/>
    </row>
    <row r="537" spans="1:35" x14ac:dyDescent="0.2">
      <c r="A537" s="362"/>
      <c r="B537" s="321"/>
      <c r="C537" s="261"/>
      <c r="D537" s="249"/>
      <c r="E537" s="222">
        <v>2018</v>
      </c>
      <c r="F537" s="222"/>
      <c r="G537" s="222"/>
      <c r="H537" s="222"/>
      <c r="I537" s="222"/>
      <c r="J537" s="222"/>
      <c r="K537" s="249"/>
      <c r="L537" s="99"/>
    </row>
    <row r="538" spans="1:35" x14ac:dyDescent="0.2">
      <c r="A538" s="362"/>
      <c r="B538" s="321"/>
      <c r="C538" s="261"/>
      <c r="D538" s="249"/>
      <c r="E538" s="222">
        <v>2019</v>
      </c>
      <c r="F538" s="222"/>
      <c r="G538" s="222"/>
      <c r="H538" s="222"/>
      <c r="I538" s="222"/>
      <c r="J538" s="222"/>
      <c r="K538" s="249"/>
    </row>
    <row r="539" spans="1:35" x14ac:dyDescent="0.2">
      <c r="A539" s="362"/>
      <c r="B539" s="321"/>
      <c r="C539" s="261"/>
      <c r="D539" s="249"/>
      <c r="E539" s="222">
        <v>2020</v>
      </c>
      <c r="F539" s="222"/>
      <c r="G539" s="222"/>
      <c r="H539" s="222"/>
      <c r="I539" s="222"/>
      <c r="J539" s="222"/>
      <c r="K539" s="249"/>
      <c r="L539" s="127"/>
      <c r="M539" s="127"/>
    </row>
    <row r="540" spans="1:35" ht="57.75" customHeight="1" thickBot="1" x14ac:dyDescent="0.25">
      <c r="A540" s="362"/>
      <c r="B540" s="321"/>
      <c r="C540" s="261"/>
      <c r="D540" s="249"/>
      <c r="E540" s="26" t="s">
        <v>18</v>
      </c>
      <c r="F540" s="26"/>
      <c r="G540" s="207"/>
      <c r="H540" s="207"/>
      <c r="I540" s="207"/>
      <c r="J540" s="207"/>
      <c r="K540" s="249"/>
    </row>
    <row r="541" spans="1:35" ht="30" customHeight="1" thickBot="1" x14ac:dyDescent="0.25">
      <c r="A541" s="339" t="s">
        <v>183</v>
      </c>
      <c r="B541" s="360"/>
      <c r="C541" s="360"/>
      <c r="D541" s="360"/>
      <c r="E541" s="360"/>
      <c r="F541" s="360"/>
      <c r="G541" s="360"/>
      <c r="H541" s="360"/>
      <c r="I541" s="360"/>
      <c r="J541" s="360"/>
      <c r="K541" s="360"/>
      <c r="L541" s="59"/>
      <c r="M541" s="59"/>
      <c r="N541" s="59"/>
      <c r="O541" s="59"/>
      <c r="P541" s="59"/>
      <c r="Q541" s="59"/>
      <c r="R541" s="59"/>
      <c r="S541" s="59"/>
      <c r="T541" s="59"/>
      <c r="U541" s="59"/>
      <c r="V541" s="59"/>
      <c r="W541" s="59"/>
      <c r="X541" s="59"/>
      <c r="Y541" s="59"/>
      <c r="Z541" s="59"/>
      <c r="AA541" s="59"/>
      <c r="AB541" s="59"/>
      <c r="AC541" s="59"/>
      <c r="AD541" s="59"/>
      <c r="AE541" s="59"/>
      <c r="AF541" s="59"/>
      <c r="AG541" s="59"/>
      <c r="AH541" s="59"/>
      <c r="AI541" s="60"/>
    </row>
    <row r="542" spans="1:35" ht="15" thickBot="1" x14ac:dyDescent="0.25">
      <c r="A542" s="582" t="s">
        <v>70</v>
      </c>
      <c r="B542" s="583"/>
      <c r="C542" s="583"/>
      <c r="D542" s="583"/>
      <c r="E542" s="583"/>
      <c r="F542" s="583"/>
      <c r="G542" s="583"/>
      <c r="H542" s="583"/>
      <c r="I542" s="583"/>
      <c r="J542" s="583"/>
      <c r="K542" s="584"/>
      <c r="L542" s="61"/>
      <c r="M542" s="61"/>
      <c r="N542" s="61"/>
      <c r="O542" s="61"/>
      <c r="P542" s="61"/>
      <c r="Q542" s="61"/>
      <c r="R542" s="61"/>
      <c r="S542" s="61"/>
      <c r="T542" s="61"/>
      <c r="U542" s="61"/>
      <c r="V542" s="61"/>
      <c r="W542" s="61"/>
      <c r="X542" s="61"/>
      <c r="Y542" s="61"/>
      <c r="Z542" s="61"/>
      <c r="AA542" s="61"/>
      <c r="AB542" s="61"/>
      <c r="AC542" s="61"/>
      <c r="AD542" s="61"/>
      <c r="AE542" s="61"/>
      <c r="AF542" s="61"/>
      <c r="AG542" s="61"/>
      <c r="AH542" s="61"/>
      <c r="AI542" s="62"/>
    </row>
    <row r="543" spans="1:35" ht="12.75" customHeight="1" x14ac:dyDescent="0.25">
      <c r="A543" s="388" t="s">
        <v>64</v>
      </c>
      <c r="B543" s="518" t="s">
        <v>150</v>
      </c>
      <c r="C543" s="276" t="s">
        <v>397</v>
      </c>
      <c r="D543" s="248" t="s">
        <v>449</v>
      </c>
      <c r="E543" s="222">
        <v>2015</v>
      </c>
      <c r="F543" s="7">
        <f t="shared" ref="F543:F548" si="105">SUM(G543:J543)</f>
        <v>44637.9</v>
      </c>
      <c r="G543" s="7"/>
      <c r="H543" s="7"/>
      <c r="I543" s="7">
        <f>49100-1324.1-939.1-30-1573.9-583-12</f>
        <v>44637.9</v>
      </c>
      <c r="J543" s="14"/>
      <c r="K543" s="248" t="s">
        <v>149</v>
      </c>
    </row>
    <row r="544" spans="1:35" ht="15" x14ac:dyDescent="0.25">
      <c r="A544" s="389"/>
      <c r="B544" s="283"/>
      <c r="C544" s="261"/>
      <c r="D544" s="249"/>
      <c r="E544" s="222">
        <v>2016</v>
      </c>
      <c r="F544" s="7">
        <f t="shared" si="105"/>
        <v>44921</v>
      </c>
      <c r="G544" s="7"/>
      <c r="H544" s="7"/>
      <c r="I544" s="7">
        <f>47428-1000-707-500-300</f>
        <v>44921</v>
      </c>
      <c r="J544" s="14"/>
      <c r="K544" s="249"/>
    </row>
    <row r="545" spans="1:35" ht="15" x14ac:dyDescent="0.25">
      <c r="A545" s="389"/>
      <c r="B545" s="283"/>
      <c r="C545" s="261"/>
      <c r="D545" s="249"/>
      <c r="E545" s="222">
        <v>2017</v>
      </c>
      <c r="F545" s="7">
        <f t="shared" si="105"/>
        <v>48074.7</v>
      </c>
      <c r="G545" s="7"/>
      <c r="H545" s="7"/>
      <c r="I545" s="7">
        <f>42110.2+3343.8+2620.7</f>
        <v>48074.7</v>
      </c>
      <c r="J545" s="14"/>
      <c r="K545" s="249"/>
      <c r="L545" s="128" t="s">
        <v>344</v>
      </c>
      <c r="M545" s="4">
        <v>3343.8</v>
      </c>
    </row>
    <row r="546" spans="1:35" ht="15" x14ac:dyDescent="0.25">
      <c r="A546" s="389"/>
      <c r="B546" s="283"/>
      <c r="C546" s="261"/>
      <c r="D546" s="249"/>
      <c r="E546" s="222">
        <v>2018</v>
      </c>
      <c r="F546" s="7">
        <f t="shared" si="105"/>
        <v>63892.7</v>
      </c>
      <c r="G546" s="7"/>
      <c r="H546" s="7"/>
      <c r="I546" s="7">
        <f>46681.7+17211</f>
        <v>63892.7</v>
      </c>
      <c r="J546" s="14"/>
      <c r="K546" s="249"/>
      <c r="L546" s="99"/>
      <c r="M546" s="106"/>
    </row>
    <row r="547" spans="1:35" ht="15" x14ac:dyDescent="0.25">
      <c r="A547" s="389"/>
      <c r="B547" s="283"/>
      <c r="C547" s="261"/>
      <c r="D547" s="249"/>
      <c r="E547" s="222">
        <v>2019</v>
      </c>
      <c r="F547" s="7">
        <f t="shared" ref="F547" si="106">SUM(G547:J547)</f>
        <v>81895.299999999988</v>
      </c>
      <c r="G547" s="7"/>
      <c r="H547" s="7"/>
      <c r="I547" s="7">
        <f>63452+14451.4+3991.9</f>
        <v>81895.299999999988</v>
      </c>
      <c r="J547" s="14"/>
      <c r="K547" s="249"/>
      <c r="L547" s="99"/>
      <c r="M547" s="106"/>
    </row>
    <row r="548" spans="1:35" ht="15" x14ac:dyDescent="0.25">
      <c r="A548" s="389"/>
      <c r="B548" s="283"/>
      <c r="C548" s="261"/>
      <c r="D548" s="249"/>
      <c r="E548" s="222">
        <v>2020</v>
      </c>
      <c r="F548" s="7">
        <f t="shared" si="105"/>
        <v>86129.5</v>
      </c>
      <c r="G548" s="7"/>
      <c r="H548" s="7"/>
      <c r="I548" s="7">
        <f>63452-18083.8+30124.8+10636.5</f>
        <v>86129.5</v>
      </c>
      <c r="J548" s="14"/>
      <c r="K548" s="249"/>
    </row>
    <row r="549" spans="1:35" ht="15" x14ac:dyDescent="0.25">
      <c r="A549" s="389"/>
      <c r="B549" s="289"/>
      <c r="C549" s="261"/>
      <c r="D549" s="249"/>
      <c r="E549" s="222">
        <v>2021</v>
      </c>
      <c r="F549" s="7">
        <f t="shared" ref="F549:F551" si="107">SUM(G549:J549)</f>
        <v>78200</v>
      </c>
      <c r="G549" s="7"/>
      <c r="H549" s="7"/>
      <c r="I549" s="7">
        <f>63452-18083.8+38124.8-5293</f>
        <v>78200</v>
      </c>
      <c r="J549" s="14"/>
      <c r="K549" s="249"/>
    </row>
    <row r="550" spans="1:35" ht="15" x14ac:dyDescent="0.25">
      <c r="A550" s="389"/>
      <c r="B550" s="289"/>
      <c r="C550" s="261"/>
      <c r="D550" s="249"/>
      <c r="E550" s="222">
        <v>2022</v>
      </c>
      <c r="F550" s="7">
        <f t="shared" si="107"/>
        <v>79335</v>
      </c>
      <c r="G550" s="7"/>
      <c r="H550" s="7"/>
      <c r="I550" s="7">
        <f>65990.1+6899.9+6445</f>
        <v>79335</v>
      </c>
      <c r="J550" s="14"/>
      <c r="K550" s="249"/>
      <c r="L550" s="128" t="s">
        <v>344</v>
      </c>
      <c r="M550" s="4">
        <v>3343.8</v>
      </c>
    </row>
    <row r="551" spans="1:35" ht="15" x14ac:dyDescent="0.25">
      <c r="A551" s="389"/>
      <c r="B551" s="289"/>
      <c r="C551" s="261"/>
      <c r="D551" s="249"/>
      <c r="E551" s="222">
        <v>2023</v>
      </c>
      <c r="F551" s="7">
        <f t="shared" si="107"/>
        <v>71984</v>
      </c>
      <c r="G551" s="7"/>
      <c r="H551" s="7"/>
      <c r="I551" s="7">
        <f>68629.7+3354.3</f>
        <v>71984</v>
      </c>
      <c r="J551" s="14"/>
      <c r="K551" s="249"/>
      <c r="L551" s="99"/>
      <c r="M551" s="106"/>
    </row>
    <row r="552" spans="1:35" ht="15" x14ac:dyDescent="0.25">
      <c r="A552" s="389"/>
      <c r="B552" s="289"/>
      <c r="C552" s="261"/>
      <c r="D552" s="249"/>
      <c r="E552" s="222">
        <v>2024</v>
      </c>
      <c r="F552" s="7">
        <f t="shared" ref="F552" si="108">SUM(G552:J552)</f>
        <v>71374.899999999994</v>
      </c>
      <c r="G552" s="7"/>
      <c r="H552" s="7"/>
      <c r="I552" s="7">
        <v>71374.899999999994</v>
      </c>
      <c r="J552" s="14"/>
      <c r="K552" s="249"/>
      <c r="L552" s="99"/>
      <c r="M552" s="106"/>
    </row>
    <row r="553" spans="1:35" ht="15" x14ac:dyDescent="0.25">
      <c r="A553" s="389"/>
      <c r="B553" s="289"/>
      <c r="C553" s="261"/>
      <c r="D553" s="249"/>
      <c r="E553" s="222">
        <v>2025</v>
      </c>
      <c r="F553" s="7">
        <f t="shared" ref="F553" si="109">SUM(G553:J553)</f>
        <v>74230</v>
      </c>
      <c r="G553" s="7"/>
      <c r="H553" s="7"/>
      <c r="I553" s="7">
        <v>74230</v>
      </c>
      <c r="J553" s="14"/>
      <c r="K553" s="249"/>
    </row>
    <row r="554" spans="1:35" ht="15.75" customHeight="1" thickBot="1" x14ac:dyDescent="0.25">
      <c r="A554" s="389"/>
      <c r="B554" s="289"/>
      <c r="C554" s="378"/>
      <c r="D554" s="249"/>
      <c r="E554" s="18" t="s">
        <v>18</v>
      </c>
      <c r="F554" s="8">
        <f>SUM(F543:F553)</f>
        <v>744675</v>
      </c>
      <c r="G554" s="8"/>
      <c r="H554" s="8">
        <f>SUM(H546:H548)</f>
        <v>0</v>
      </c>
      <c r="I554" s="8">
        <f>SUM(I543:I553)</f>
        <v>744675</v>
      </c>
      <c r="J554" s="14"/>
      <c r="K554" s="250"/>
    </row>
    <row r="555" spans="1:35" ht="15" thickBot="1" x14ac:dyDescent="0.25">
      <c r="A555" s="287" t="s">
        <v>71</v>
      </c>
      <c r="B555" s="283"/>
      <c r="C555" s="283"/>
      <c r="D555" s="283"/>
      <c r="E555" s="283"/>
      <c r="F555" s="283"/>
      <c r="G555" s="283"/>
      <c r="H555" s="283"/>
      <c r="I555" s="283"/>
      <c r="J555" s="283"/>
      <c r="K555" s="283"/>
      <c r="L555" s="25"/>
      <c r="M555" s="63"/>
      <c r="N555" s="63"/>
      <c r="O555" s="63"/>
      <c r="P555" s="63"/>
      <c r="Q555" s="63"/>
      <c r="R555" s="63"/>
      <c r="S555" s="63"/>
      <c r="T555" s="63"/>
      <c r="U555" s="63"/>
      <c r="V555" s="63"/>
      <c r="W555" s="63"/>
      <c r="X555" s="63"/>
      <c r="Y555" s="63"/>
      <c r="Z555" s="63"/>
      <c r="AA555" s="63"/>
      <c r="AB555" s="63"/>
      <c r="AC555" s="63"/>
      <c r="AD555" s="63"/>
      <c r="AE555" s="63"/>
      <c r="AF555" s="63"/>
      <c r="AG555" s="63"/>
      <c r="AH555" s="63"/>
      <c r="AI555" s="64"/>
    </row>
    <row r="556" spans="1:35" x14ac:dyDescent="0.2">
      <c r="A556" s="385" t="s">
        <v>273</v>
      </c>
      <c r="B556" s="518" t="s">
        <v>151</v>
      </c>
      <c r="C556" s="276" t="s">
        <v>68</v>
      </c>
      <c r="D556" s="248" t="s">
        <v>449</v>
      </c>
      <c r="E556" s="222">
        <v>2015</v>
      </c>
      <c r="F556" s="14"/>
      <c r="G556" s="14"/>
      <c r="H556" s="14"/>
      <c r="I556" s="14"/>
      <c r="J556" s="14"/>
      <c r="K556" s="248" t="s">
        <v>152</v>
      </c>
      <c r="L556" s="28"/>
    </row>
    <row r="557" spans="1:35" x14ac:dyDescent="0.2">
      <c r="A557" s="386"/>
      <c r="B557" s="283"/>
      <c r="C557" s="261"/>
      <c r="D557" s="249"/>
      <c r="E557" s="222">
        <v>2016</v>
      </c>
      <c r="F557" s="14"/>
      <c r="G557" s="14"/>
      <c r="H557" s="14"/>
      <c r="I557" s="14"/>
      <c r="J557" s="14"/>
      <c r="K557" s="249"/>
    </row>
    <row r="558" spans="1:35" x14ac:dyDescent="0.2">
      <c r="A558" s="386"/>
      <c r="B558" s="283"/>
      <c r="C558" s="261"/>
      <c r="D558" s="249"/>
      <c r="E558" s="222">
        <v>2017</v>
      </c>
      <c r="F558" s="14"/>
      <c r="G558" s="14"/>
      <c r="H558" s="14"/>
      <c r="I558" s="14"/>
      <c r="J558" s="14"/>
      <c r="K558" s="249"/>
      <c r="L558" s="99"/>
    </row>
    <row r="559" spans="1:35" ht="15" x14ac:dyDescent="0.25">
      <c r="A559" s="386"/>
      <c r="B559" s="283"/>
      <c r="C559" s="261"/>
      <c r="D559" s="249"/>
      <c r="E559" s="222">
        <v>2018</v>
      </c>
      <c r="F559" s="7">
        <f>SUM(G559:J559)</f>
        <v>0</v>
      </c>
      <c r="G559" s="7"/>
      <c r="H559" s="7"/>
      <c r="I559" s="7"/>
      <c r="J559" s="7">
        <v>0</v>
      </c>
      <c r="K559" s="249"/>
      <c r="L559" s="99"/>
    </row>
    <row r="560" spans="1:35" ht="15" x14ac:dyDescent="0.25">
      <c r="A560" s="386"/>
      <c r="B560" s="283"/>
      <c r="C560" s="261"/>
      <c r="D560" s="249"/>
      <c r="E560" s="222">
        <v>2019</v>
      </c>
      <c r="F560" s="7">
        <f>SUM(G560:J560)</f>
        <v>0</v>
      </c>
      <c r="G560" s="7"/>
      <c r="H560" s="7"/>
      <c r="I560" s="7"/>
      <c r="J560" s="7">
        <v>0</v>
      </c>
      <c r="K560" s="249"/>
    </row>
    <row r="561" spans="1:14" ht="15" x14ac:dyDescent="0.25">
      <c r="A561" s="386"/>
      <c r="B561" s="283"/>
      <c r="C561" s="261"/>
      <c r="D561" s="249"/>
      <c r="E561" s="222">
        <v>2020</v>
      </c>
      <c r="F561" s="7">
        <f>SUM(G561:J561)</f>
        <v>0</v>
      </c>
      <c r="G561" s="7"/>
      <c r="H561" s="7"/>
      <c r="I561" s="7"/>
      <c r="J561" s="7">
        <v>0</v>
      </c>
      <c r="K561" s="249"/>
    </row>
    <row r="562" spans="1:14" ht="25.5" customHeight="1" x14ac:dyDescent="0.25">
      <c r="A562" s="386"/>
      <c r="B562" s="283"/>
      <c r="C562" s="261"/>
      <c r="D562" s="249"/>
      <c r="E562" s="18" t="s">
        <v>18</v>
      </c>
      <c r="F562" s="8">
        <f>SUM(F556:F561)</f>
        <v>0</v>
      </c>
      <c r="G562" s="7"/>
      <c r="H562" s="7"/>
      <c r="I562" s="7"/>
      <c r="J562" s="8">
        <f>SUM(J556:J561)</f>
        <v>0</v>
      </c>
      <c r="K562" s="250"/>
    </row>
    <row r="563" spans="1:14" x14ac:dyDescent="0.2">
      <c r="A563" s="524" t="s">
        <v>72</v>
      </c>
      <c r="B563" s="292" t="s">
        <v>153</v>
      </c>
      <c r="C563" s="272" t="s">
        <v>68</v>
      </c>
      <c r="D563" s="248" t="s">
        <v>449</v>
      </c>
      <c r="E563" s="208">
        <v>2015</v>
      </c>
      <c r="F563" s="12"/>
      <c r="G563" s="12"/>
      <c r="H563" s="12"/>
      <c r="I563" s="12"/>
      <c r="J563" s="12"/>
      <c r="K563" s="248" t="s">
        <v>152</v>
      </c>
    </row>
    <row r="564" spans="1:14" x14ac:dyDescent="0.2">
      <c r="A564" s="286"/>
      <c r="B564" s="283"/>
      <c r="C564" s="284"/>
      <c r="D564" s="249"/>
      <c r="E564" s="222">
        <v>2016</v>
      </c>
      <c r="F564" s="14"/>
      <c r="G564" s="14"/>
      <c r="H564" s="14"/>
      <c r="I564" s="14"/>
      <c r="J564" s="14"/>
      <c r="K564" s="249"/>
    </row>
    <row r="565" spans="1:14" x14ac:dyDescent="0.2">
      <c r="A565" s="286"/>
      <c r="B565" s="283"/>
      <c r="C565" s="284"/>
      <c r="D565" s="249"/>
      <c r="E565" s="222">
        <v>2017</v>
      </c>
      <c r="F565" s="14"/>
      <c r="G565" s="14"/>
      <c r="H565" s="14"/>
      <c r="I565" s="14"/>
      <c r="J565" s="14"/>
      <c r="K565" s="249"/>
    </row>
    <row r="566" spans="1:14" ht="15" x14ac:dyDescent="0.25">
      <c r="A566" s="286"/>
      <c r="B566" s="283"/>
      <c r="C566" s="284"/>
      <c r="D566" s="249"/>
      <c r="E566" s="222">
        <v>2018</v>
      </c>
      <c r="F566" s="7">
        <f>SUM(G566:J566)</f>
        <v>0</v>
      </c>
      <c r="G566" s="7"/>
      <c r="H566" s="7"/>
      <c r="I566" s="7"/>
      <c r="J566" s="7">
        <v>0</v>
      </c>
      <c r="K566" s="249"/>
      <c r="L566" s="99"/>
    </row>
    <row r="567" spans="1:14" ht="15" x14ac:dyDescent="0.25">
      <c r="A567" s="286"/>
      <c r="B567" s="283"/>
      <c r="C567" s="284"/>
      <c r="D567" s="249"/>
      <c r="E567" s="222">
        <v>2019</v>
      </c>
      <c r="F567" s="7">
        <f>SUM(G567:J567)</f>
        <v>0</v>
      </c>
      <c r="G567" s="7"/>
      <c r="H567" s="7"/>
      <c r="I567" s="7"/>
      <c r="J567" s="7">
        <v>0</v>
      </c>
      <c r="K567" s="249"/>
    </row>
    <row r="568" spans="1:14" ht="15" x14ac:dyDescent="0.25">
      <c r="A568" s="286"/>
      <c r="B568" s="283"/>
      <c r="C568" s="284"/>
      <c r="D568" s="249"/>
      <c r="E568" s="222">
        <v>2020</v>
      </c>
      <c r="F568" s="7">
        <f>SUM(G568:J568)</f>
        <v>0</v>
      </c>
      <c r="G568" s="7"/>
      <c r="H568" s="7"/>
      <c r="I568" s="7"/>
      <c r="J568" s="7">
        <v>0</v>
      </c>
      <c r="K568" s="249"/>
    </row>
    <row r="569" spans="1:14" ht="15" x14ac:dyDescent="0.25">
      <c r="A569" s="390"/>
      <c r="B569" s="289"/>
      <c r="C569" s="284"/>
      <c r="D569" s="249"/>
      <c r="E569" s="26" t="s">
        <v>18</v>
      </c>
      <c r="F569" s="9">
        <f>SUM(F566:F568)</f>
        <v>0</v>
      </c>
      <c r="G569" s="10"/>
      <c r="H569" s="10"/>
      <c r="I569" s="10"/>
      <c r="J569" s="9">
        <f>SUM(J563:J568)</f>
        <v>0</v>
      </c>
      <c r="K569" s="249"/>
    </row>
    <row r="570" spans="1:14" ht="15" x14ac:dyDescent="0.25">
      <c r="A570" s="394" t="s">
        <v>119</v>
      </c>
      <c r="B570" s="523" t="s">
        <v>212</v>
      </c>
      <c r="C570" s="272" t="s">
        <v>397</v>
      </c>
      <c r="D570" s="260" t="s">
        <v>449</v>
      </c>
      <c r="E570" s="222">
        <v>2015</v>
      </c>
      <c r="F570" s="7">
        <f>SUM(G570:I570)</f>
        <v>1364.4</v>
      </c>
      <c r="G570" s="7"/>
      <c r="H570" s="7"/>
      <c r="I570" s="7">
        <f>1322.4+30+12</f>
        <v>1364.4</v>
      </c>
      <c r="J570" s="14"/>
      <c r="K570" s="260" t="s">
        <v>132</v>
      </c>
    </row>
    <row r="571" spans="1:14" ht="15" x14ac:dyDescent="0.25">
      <c r="A571" s="395"/>
      <c r="B571" s="274"/>
      <c r="C571" s="284"/>
      <c r="D571" s="260"/>
      <c r="E571" s="222">
        <v>2016</v>
      </c>
      <c r="F571" s="7">
        <f t="shared" ref="F571:F575" si="110">SUM(G571:I571)</f>
        <v>1322.4</v>
      </c>
      <c r="G571" s="7"/>
      <c r="H571" s="7"/>
      <c r="I571" s="7">
        <v>1322.4</v>
      </c>
      <c r="J571" s="14"/>
      <c r="K571" s="260"/>
    </row>
    <row r="572" spans="1:14" ht="15" x14ac:dyDescent="0.25">
      <c r="A572" s="395"/>
      <c r="B572" s="274"/>
      <c r="C572" s="284"/>
      <c r="D572" s="260"/>
      <c r="E572" s="222">
        <v>2017</v>
      </c>
      <c r="F572" s="7">
        <f t="shared" si="110"/>
        <v>4988.3</v>
      </c>
      <c r="G572" s="7"/>
      <c r="H572" s="7"/>
      <c r="I572" s="7">
        <f>1338.3+3116.8+533.2</f>
        <v>4988.3</v>
      </c>
      <c r="J572" s="14"/>
      <c r="K572" s="260"/>
      <c r="L572" s="99" t="s">
        <v>346</v>
      </c>
      <c r="M572" s="105"/>
      <c r="N572" s="106" t="s">
        <v>345</v>
      </c>
    </row>
    <row r="573" spans="1:14" ht="15" x14ac:dyDescent="0.25">
      <c r="A573" s="395"/>
      <c r="B573" s="274"/>
      <c r="C573" s="284"/>
      <c r="D573" s="260"/>
      <c r="E573" s="222">
        <v>2018</v>
      </c>
      <c r="F573" s="7">
        <f t="shared" si="110"/>
        <v>4768</v>
      </c>
      <c r="G573" s="7"/>
      <c r="H573" s="7"/>
      <c r="I573" s="7">
        <f>4385.6+382.4</f>
        <v>4768</v>
      </c>
      <c r="J573" s="14"/>
      <c r="K573" s="260"/>
      <c r="L573" s="99"/>
      <c r="M573" s="105"/>
      <c r="N573" s="106"/>
    </row>
    <row r="574" spans="1:14" ht="15" x14ac:dyDescent="0.25">
      <c r="A574" s="395"/>
      <c r="B574" s="274"/>
      <c r="C574" s="284"/>
      <c r="D574" s="260"/>
      <c r="E574" s="222">
        <v>2019</v>
      </c>
      <c r="F574" s="7">
        <f t="shared" ref="F574" si="111">SUM(G574:I574)</f>
        <v>7700.2000000000007</v>
      </c>
      <c r="G574" s="7"/>
      <c r="H574" s="7"/>
      <c r="I574" s="7">
        <f>5949.3+1081.8-341.9+1011</f>
        <v>7700.2000000000007</v>
      </c>
      <c r="J574" s="14"/>
      <c r="K574" s="260"/>
      <c r="L574" s="99"/>
      <c r="M574" s="105"/>
      <c r="N574" s="106"/>
    </row>
    <row r="575" spans="1:14" ht="15" x14ac:dyDescent="0.25">
      <c r="A575" s="395"/>
      <c r="B575" s="274"/>
      <c r="C575" s="284"/>
      <c r="D575" s="260"/>
      <c r="E575" s="222">
        <v>2020</v>
      </c>
      <c r="F575" s="7">
        <f t="shared" si="110"/>
        <v>7075.6</v>
      </c>
      <c r="G575" s="7"/>
      <c r="H575" s="7"/>
      <c r="I575" s="7">
        <f>1228.9-1098.2+6993.1-48.2</f>
        <v>7075.6</v>
      </c>
      <c r="J575" s="14"/>
      <c r="K575" s="260"/>
    </row>
    <row r="576" spans="1:14" ht="15" x14ac:dyDescent="0.25">
      <c r="A576" s="395"/>
      <c r="B576" s="274"/>
      <c r="C576" s="284"/>
      <c r="D576" s="260"/>
      <c r="E576" s="222">
        <v>2021</v>
      </c>
      <c r="F576" s="7">
        <f t="shared" ref="F576:F578" si="112">SUM(G576:I576)</f>
        <v>8196.9</v>
      </c>
      <c r="G576" s="7"/>
      <c r="H576" s="7"/>
      <c r="I576" s="7">
        <f>115.8-105.9+766.3+2684+4736.7</f>
        <v>8196.9</v>
      </c>
      <c r="J576" s="14"/>
      <c r="K576" s="260"/>
    </row>
    <row r="577" spans="1:15" ht="15" x14ac:dyDescent="0.25">
      <c r="A577" s="395"/>
      <c r="B577" s="274"/>
      <c r="C577" s="284"/>
      <c r="D577" s="260"/>
      <c r="E577" s="222">
        <v>2022</v>
      </c>
      <c r="F577" s="7">
        <f t="shared" si="112"/>
        <v>1684</v>
      </c>
      <c r="G577" s="7"/>
      <c r="H577" s="7"/>
      <c r="I577" s="7">
        <v>1684</v>
      </c>
      <c r="J577" s="14"/>
      <c r="K577" s="260"/>
      <c r="L577" s="99" t="s">
        <v>346</v>
      </c>
      <c r="M577" s="105"/>
      <c r="N577" s="106" t="s">
        <v>345</v>
      </c>
    </row>
    <row r="578" spans="1:15" ht="15" x14ac:dyDescent="0.25">
      <c r="A578" s="395"/>
      <c r="B578" s="274"/>
      <c r="C578" s="284"/>
      <c r="D578" s="260"/>
      <c r="E578" s="222">
        <v>2023</v>
      </c>
      <c r="F578" s="7">
        <f t="shared" si="112"/>
        <v>748.30000000000007</v>
      </c>
      <c r="G578" s="7"/>
      <c r="H578" s="7"/>
      <c r="I578" s="7">
        <f>125.2+623.1</f>
        <v>748.30000000000007</v>
      </c>
      <c r="J578" s="14"/>
      <c r="K578" s="260"/>
      <c r="L578" s="99"/>
      <c r="M578" s="105"/>
      <c r="N578" s="106"/>
    </row>
    <row r="579" spans="1:15" ht="15" x14ac:dyDescent="0.25">
      <c r="A579" s="395"/>
      <c r="B579" s="274"/>
      <c r="C579" s="284"/>
      <c r="D579" s="260"/>
      <c r="E579" s="222">
        <v>2024</v>
      </c>
      <c r="F579" s="7">
        <f t="shared" ref="F579" si="113">SUM(G579:I579)</f>
        <v>130.19999999999999</v>
      </c>
      <c r="G579" s="7"/>
      <c r="H579" s="7"/>
      <c r="I579" s="7">
        <v>130.19999999999999</v>
      </c>
      <c r="J579" s="14"/>
      <c r="K579" s="260"/>
      <c r="L579" s="99"/>
      <c r="M579" s="105"/>
      <c r="N579" s="106"/>
    </row>
    <row r="580" spans="1:15" ht="15" x14ac:dyDescent="0.25">
      <c r="A580" s="395"/>
      <c r="B580" s="274"/>
      <c r="C580" s="284"/>
      <c r="D580" s="260"/>
      <c r="E580" s="222">
        <v>2025</v>
      </c>
      <c r="F580" s="7">
        <f t="shared" ref="F580" si="114">SUM(G580:I580)</f>
        <v>135.4</v>
      </c>
      <c r="G580" s="7"/>
      <c r="H580" s="7"/>
      <c r="I580" s="7">
        <v>135.4</v>
      </c>
      <c r="J580" s="14"/>
      <c r="K580" s="260"/>
    </row>
    <row r="581" spans="1:15" ht="29.25" customHeight="1" x14ac:dyDescent="0.25">
      <c r="A581" s="395"/>
      <c r="B581" s="274"/>
      <c r="C581" s="284"/>
      <c r="D581" s="260"/>
      <c r="E581" s="18" t="s">
        <v>18</v>
      </c>
      <c r="F581" s="8">
        <f>SUM(F570:F580)</f>
        <v>38113.700000000004</v>
      </c>
      <c r="G581" s="7"/>
      <c r="H581" s="7"/>
      <c r="I581" s="8">
        <f>SUM(I570:I580)</f>
        <v>38113.700000000004</v>
      </c>
      <c r="J581" s="14"/>
      <c r="K581" s="260"/>
    </row>
    <row r="582" spans="1:15" ht="15" x14ac:dyDescent="0.25">
      <c r="A582" s="285" t="s">
        <v>120</v>
      </c>
      <c r="B582" s="523" t="s">
        <v>209</v>
      </c>
      <c r="C582" s="276" t="s">
        <v>68</v>
      </c>
      <c r="D582" s="248" t="s">
        <v>449</v>
      </c>
      <c r="E582" s="222">
        <v>2015</v>
      </c>
      <c r="F582" s="7">
        <f>H582+I582</f>
        <v>260.60000000000002</v>
      </c>
      <c r="G582" s="7"/>
      <c r="H582" s="7">
        <v>230</v>
      </c>
      <c r="I582" s="7">
        <v>30.6</v>
      </c>
      <c r="J582" s="14"/>
      <c r="K582" s="248" t="s">
        <v>154</v>
      </c>
    </row>
    <row r="583" spans="1:15" ht="15" x14ac:dyDescent="0.25">
      <c r="A583" s="286"/>
      <c r="B583" s="274"/>
      <c r="C583" s="261"/>
      <c r="D583" s="249"/>
      <c r="E583" s="222">
        <v>2016</v>
      </c>
      <c r="F583" s="143"/>
      <c r="G583" s="7"/>
      <c r="H583" s="7"/>
      <c r="I583" s="7"/>
      <c r="J583" s="14"/>
      <c r="K583" s="249"/>
    </row>
    <row r="584" spans="1:15" ht="15" x14ac:dyDescent="0.25">
      <c r="A584" s="286"/>
      <c r="B584" s="274"/>
      <c r="C584" s="261"/>
      <c r="D584" s="249"/>
      <c r="E584" s="222">
        <v>2017</v>
      </c>
      <c r="F584" s="143"/>
      <c r="G584" s="7"/>
      <c r="H584" s="7"/>
      <c r="I584" s="7"/>
      <c r="J584" s="14"/>
      <c r="K584" s="249"/>
    </row>
    <row r="585" spans="1:15" ht="15" x14ac:dyDescent="0.25">
      <c r="A585" s="286"/>
      <c r="B585" s="274"/>
      <c r="C585" s="261"/>
      <c r="D585" s="249"/>
      <c r="E585" s="222">
        <v>2018</v>
      </c>
      <c r="F585" s="143"/>
      <c r="G585" s="7"/>
      <c r="H585" s="7"/>
      <c r="I585" s="7"/>
      <c r="J585" s="14"/>
      <c r="K585" s="249"/>
    </row>
    <row r="586" spans="1:15" ht="15" x14ac:dyDescent="0.25">
      <c r="A586" s="286"/>
      <c r="B586" s="274"/>
      <c r="C586" s="261"/>
      <c r="D586" s="249"/>
      <c r="E586" s="222">
        <v>2019</v>
      </c>
      <c r="F586" s="143"/>
      <c r="G586" s="7"/>
      <c r="H586" s="7"/>
      <c r="I586" s="7"/>
      <c r="J586" s="14"/>
      <c r="K586" s="249"/>
    </row>
    <row r="587" spans="1:15" ht="15" x14ac:dyDescent="0.25">
      <c r="A587" s="286"/>
      <c r="B587" s="274"/>
      <c r="C587" s="261"/>
      <c r="D587" s="249"/>
      <c r="E587" s="222">
        <v>2020</v>
      </c>
      <c r="F587" s="143"/>
      <c r="G587" s="7"/>
      <c r="H587" s="7"/>
      <c r="I587" s="7"/>
      <c r="J587" s="14"/>
      <c r="K587" s="249"/>
    </row>
    <row r="588" spans="1:15" ht="15" x14ac:dyDescent="0.25">
      <c r="A588" s="286"/>
      <c r="B588" s="274"/>
      <c r="C588" s="277"/>
      <c r="D588" s="250"/>
      <c r="E588" s="18" t="s">
        <v>18</v>
      </c>
      <c r="F588" s="8">
        <f>SUM(F582:F587)</f>
        <v>260.60000000000002</v>
      </c>
      <c r="G588" s="7"/>
      <c r="H588" s="8">
        <f>H587+H586+H585+H584+H582+H583</f>
        <v>230</v>
      </c>
      <c r="I588" s="8">
        <f>SUM(I582:I587)</f>
        <v>30.6</v>
      </c>
      <c r="J588" s="14"/>
      <c r="K588" s="250"/>
    </row>
    <row r="589" spans="1:15" ht="15" customHeight="1" x14ac:dyDescent="0.25">
      <c r="A589" s="302" t="s">
        <v>278</v>
      </c>
      <c r="B589" s="259" t="s">
        <v>230</v>
      </c>
      <c r="C589" s="290" t="s">
        <v>399</v>
      </c>
      <c r="D589" s="249" t="s">
        <v>449</v>
      </c>
      <c r="E589" s="208">
        <v>2016</v>
      </c>
      <c r="F589" s="7">
        <f t="shared" ref="F589:F599" si="115">G589+H589+I589</f>
        <v>445</v>
      </c>
      <c r="G589" s="154"/>
      <c r="H589" s="154"/>
      <c r="I589" s="155">
        <v>445</v>
      </c>
      <c r="J589" s="91"/>
      <c r="K589" s="249" t="s">
        <v>133</v>
      </c>
    </row>
    <row r="590" spans="1:15" ht="12.75" customHeight="1" x14ac:dyDescent="0.25">
      <c r="A590" s="302"/>
      <c r="B590" s="291"/>
      <c r="C590" s="290"/>
      <c r="D590" s="249"/>
      <c r="E590" s="222">
        <v>2017</v>
      </c>
      <c r="F590" s="7">
        <f t="shared" si="115"/>
        <v>480.6</v>
      </c>
      <c r="G590" s="9"/>
      <c r="H590" s="9"/>
      <c r="I590" s="10">
        <v>480.6</v>
      </c>
      <c r="J590" s="22"/>
      <c r="K590" s="249"/>
      <c r="L590" s="99"/>
      <c r="O590" s="99"/>
    </row>
    <row r="591" spans="1:15" ht="15" customHeight="1" x14ac:dyDescent="0.25">
      <c r="A591" s="302"/>
      <c r="B591" s="291"/>
      <c r="C591" s="290"/>
      <c r="D591" s="249"/>
      <c r="E591" s="222">
        <v>2018</v>
      </c>
      <c r="F591" s="7">
        <f t="shared" si="115"/>
        <v>480.6</v>
      </c>
      <c r="G591" s="9"/>
      <c r="H591" s="9"/>
      <c r="I591" s="10">
        <v>480.6</v>
      </c>
      <c r="J591" s="22"/>
      <c r="K591" s="249"/>
      <c r="L591" s="99"/>
    </row>
    <row r="592" spans="1:15" ht="13.5" customHeight="1" x14ac:dyDescent="0.25">
      <c r="A592" s="302"/>
      <c r="B592" s="291"/>
      <c r="C592" s="290"/>
      <c r="D592" s="249"/>
      <c r="E592" s="222">
        <v>2019</v>
      </c>
      <c r="F592" s="155">
        <f t="shared" si="115"/>
        <v>600</v>
      </c>
      <c r="G592" s="9"/>
      <c r="H592" s="9"/>
      <c r="I592" s="10">
        <f>700-100</f>
        <v>600</v>
      </c>
      <c r="J592" s="22"/>
      <c r="K592" s="249"/>
      <c r="L592" s="99"/>
    </row>
    <row r="593" spans="1:35" ht="12.75" customHeight="1" x14ac:dyDescent="0.25">
      <c r="A593" s="302"/>
      <c r="B593" s="291"/>
      <c r="C593" s="290"/>
      <c r="D593" s="249"/>
      <c r="E593" s="222">
        <v>2020</v>
      </c>
      <c r="F593" s="10">
        <f t="shared" si="115"/>
        <v>215</v>
      </c>
      <c r="G593" s="10"/>
      <c r="H593" s="10"/>
      <c r="I593" s="10">
        <f>500-250-35</f>
        <v>215</v>
      </c>
      <c r="J593" s="22"/>
      <c r="K593" s="249"/>
    </row>
    <row r="594" spans="1:35" ht="12.75" customHeight="1" x14ac:dyDescent="0.25">
      <c r="A594" s="302"/>
      <c r="B594" s="291"/>
      <c r="C594" s="290"/>
      <c r="D594" s="249"/>
      <c r="E594" s="222">
        <v>2021</v>
      </c>
      <c r="F594" s="7">
        <f t="shared" ref="F594:F596" si="116">G594+H594+I594</f>
        <v>224</v>
      </c>
      <c r="G594" s="10"/>
      <c r="H594" s="10"/>
      <c r="I594" s="10">
        <v>224</v>
      </c>
      <c r="J594" s="22"/>
      <c r="K594" s="249"/>
    </row>
    <row r="595" spans="1:35" ht="13.5" customHeight="1" x14ac:dyDescent="0.25">
      <c r="A595" s="302"/>
      <c r="B595" s="291"/>
      <c r="C595" s="290"/>
      <c r="D595" s="249"/>
      <c r="E595" s="228">
        <v>2022</v>
      </c>
      <c r="F595" s="155">
        <f t="shared" si="116"/>
        <v>0</v>
      </c>
      <c r="G595" s="9"/>
      <c r="H595" s="9"/>
      <c r="I595" s="10">
        <v>0</v>
      </c>
      <c r="J595" s="22"/>
      <c r="K595" s="249"/>
      <c r="L595" s="99"/>
    </row>
    <row r="596" spans="1:35" ht="12.75" customHeight="1" x14ac:dyDescent="0.25">
      <c r="A596" s="302"/>
      <c r="B596" s="291"/>
      <c r="C596" s="290"/>
      <c r="D596" s="249"/>
      <c r="E596" s="228">
        <v>2023</v>
      </c>
      <c r="F596" s="10">
        <f t="shared" si="116"/>
        <v>0</v>
      </c>
      <c r="G596" s="10"/>
      <c r="H596" s="10"/>
      <c r="I596" s="10">
        <v>0</v>
      </c>
      <c r="J596" s="22"/>
      <c r="K596" s="249"/>
    </row>
    <row r="597" spans="1:35" ht="21" customHeight="1" x14ac:dyDescent="0.2">
      <c r="A597" s="522"/>
      <c r="B597" s="292"/>
      <c r="C597" s="282"/>
      <c r="D597" s="250"/>
      <c r="E597" s="26" t="s">
        <v>18</v>
      </c>
      <c r="F597" s="9">
        <f>G597+H597+I597</f>
        <v>2445.1999999999998</v>
      </c>
      <c r="G597" s="9"/>
      <c r="H597" s="9"/>
      <c r="I597" s="9">
        <f>SUM(I589:I596)</f>
        <v>2445.1999999999998</v>
      </c>
      <c r="J597" s="22"/>
      <c r="K597" s="250"/>
    </row>
    <row r="598" spans="1:35" ht="15" customHeight="1" x14ac:dyDescent="0.25">
      <c r="A598" s="302" t="s">
        <v>279</v>
      </c>
      <c r="B598" s="259" t="s">
        <v>400</v>
      </c>
      <c r="C598" s="290">
        <v>2017</v>
      </c>
      <c r="D598" s="249" t="s">
        <v>449</v>
      </c>
      <c r="E598" s="222">
        <v>2017</v>
      </c>
      <c r="F598" s="7">
        <f t="shared" si="115"/>
        <v>1169.2</v>
      </c>
      <c r="G598" s="8"/>
      <c r="H598" s="8"/>
      <c r="I598" s="7">
        <v>1169.2</v>
      </c>
      <c r="J598" s="14"/>
      <c r="K598" s="249" t="s">
        <v>251</v>
      </c>
      <c r="L598" s="99"/>
    </row>
    <row r="599" spans="1:35" ht="52.5" customHeight="1" thickBot="1" x14ac:dyDescent="0.25">
      <c r="A599" s="522"/>
      <c r="B599" s="292"/>
      <c r="C599" s="282"/>
      <c r="D599" s="250"/>
      <c r="E599" s="26" t="s">
        <v>18</v>
      </c>
      <c r="F599" s="9">
        <f t="shared" si="115"/>
        <v>1169.2</v>
      </c>
      <c r="G599" s="9"/>
      <c r="H599" s="9"/>
      <c r="I599" s="9">
        <f>SUM(I598:I598)</f>
        <v>1169.2</v>
      </c>
      <c r="J599" s="22"/>
      <c r="K599" s="250"/>
    </row>
    <row r="600" spans="1:35" ht="15" thickBot="1" x14ac:dyDescent="0.25">
      <c r="A600" s="287" t="s">
        <v>401</v>
      </c>
      <c r="B600" s="283"/>
      <c r="C600" s="283"/>
      <c r="D600" s="283"/>
      <c r="E600" s="283"/>
      <c r="F600" s="283"/>
      <c r="G600" s="283"/>
      <c r="H600" s="283"/>
      <c r="I600" s="283"/>
      <c r="J600" s="283"/>
      <c r="K600" s="283"/>
      <c r="L600" s="25"/>
      <c r="M600" s="63"/>
      <c r="N600" s="63"/>
      <c r="O600" s="63"/>
      <c r="P600" s="63"/>
      <c r="Q600" s="63"/>
      <c r="R600" s="63"/>
      <c r="S600" s="63"/>
      <c r="T600" s="63"/>
      <c r="U600" s="63"/>
      <c r="V600" s="63"/>
      <c r="W600" s="63"/>
      <c r="X600" s="63"/>
      <c r="Y600" s="63"/>
      <c r="Z600" s="63"/>
      <c r="AA600" s="63"/>
      <c r="AB600" s="63"/>
      <c r="AC600" s="63"/>
      <c r="AD600" s="63"/>
      <c r="AE600" s="63"/>
      <c r="AF600" s="63"/>
      <c r="AG600" s="63"/>
      <c r="AH600" s="63"/>
      <c r="AI600" s="64"/>
    </row>
    <row r="601" spans="1:35" ht="15" x14ac:dyDescent="0.25">
      <c r="A601" s="385" t="s">
        <v>425</v>
      </c>
      <c r="B601" s="518" t="s">
        <v>430</v>
      </c>
      <c r="C601" s="276" t="s">
        <v>402</v>
      </c>
      <c r="D601" s="248" t="s">
        <v>453</v>
      </c>
      <c r="E601" s="222">
        <v>2019</v>
      </c>
      <c r="F601" s="7">
        <f>H601+I601</f>
        <v>136.1</v>
      </c>
      <c r="G601" s="7"/>
      <c r="H601" s="7">
        <v>134.69999999999999</v>
      </c>
      <c r="I601" s="7">
        <v>1.4</v>
      </c>
      <c r="J601" s="14"/>
      <c r="K601" s="248" t="s">
        <v>403</v>
      </c>
      <c r="L601" s="28"/>
    </row>
    <row r="602" spans="1:35" ht="15" x14ac:dyDescent="0.25">
      <c r="A602" s="386"/>
      <c r="B602" s="283"/>
      <c r="C602" s="261"/>
      <c r="D602" s="249"/>
      <c r="E602" s="222">
        <v>2020</v>
      </c>
      <c r="F602" s="7">
        <f t="shared" ref="F602:F603" si="117">H602+I602</f>
        <v>950.09999999999991</v>
      </c>
      <c r="G602" s="7"/>
      <c r="H602" s="7">
        <f>1059.3-401.2+282.4</f>
        <v>940.49999999999989</v>
      </c>
      <c r="I602" s="7">
        <f>10.7-4.1+3</f>
        <v>9.6</v>
      </c>
      <c r="J602" s="14"/>
      <c r="K602" s="249"/>
    </row>
    <row r="603" spans="1:35" ht="15" x14ac:dyDescent="0.25">
      <c r="A603" s="386"/>
      <c r="B603" s="283"/>
      <c r="C603" s="261"/>
      <c r="D603" s="249"/>
      <c r="E603" s="222">
        <v>2021</v>
      </c>
      <c r="F603" s="7">
        <f t="shared" si="117"/>
        <v>0</v>
      </c>
      <c r="G603" s="7"/>
      <c r="H603" s="7">
        <v>0</v>
      </c>
      <c r="I603" s="7">
        <v>0</v>
      </c>
      <c r="J603" s="14"/>
      <c r="K603" s="249"/>
      <c r="L603" s="99"/>
    </row>
    <row r="604" spans="1:35" ht="228" customHeight="1" thickBot="1" x14ac:dyDescent="0.3">
      <c r="A604" s="386"/>
      <c r="B604" s="283"/>
      <c r="C604" s="261"/>
      <c r="D604" s="249"/>
      <c r="E604" s="18" t="s">
        <v>18</v>
      </c>
      <c r="F604" s="8">
        <f>SUM(F601:F603)</f>
        <v>1086.1999999999998</v>
      </c>
      <c r="G604" s="7"/>
      <c r="H604" s="8">
        <f>SUM(H601:H603)</f>
        <v>1075.1999999999998</v>
      </c>
      <c r="I604" s="8">
        <f>SUM(I601:I603)</f>
        <v>11</v>
      </c>
      <c r="J604" s="8">
        <f>SUM(J601:J603)</f>
        <v>0</v>
      </c>
      <c r="K604" s="250"/>
    </row>
    <row r="605" spans="1:35" ht="13.5" customHeight="1" thickBot="1" x14ac:dyDescent="0.25">
      <c r="A605" s="519" t="s">
        <v>173</v>
      </c>
      <c r="B605" s="520"/>
      <c r="C605" s="520"/>
      <c r="D605" s="521"/>
      <c r="E605" s="6" t="s">
        <v>395</v>
      </c>
      <c r="F605" s="146">
        <f>SUM(G605:J605)</f>
        <v>787749.89999999979</v>
      </c>
      <c r="G605" s="147">
        <f>G554+G562+G569+G581</f>
        <v>0</v>
      </c>
      <c r="H605" s="146">
        <f>H554+H562+H569+H581+H540+H588+H597+H599+H604</f>
        <v>1305.1999999999998</v>
      </c>
      <c r="I605" s="146">
        <f>I554+I562+I569+I581+I540+I588+I597+I599+I604</f>
        <v>786444.69999999984</v>
      </c>
      <c r="J605" s="146">
        <f>J554+J562+J569+J581+J540</f>
        <v>0</v>
      </c>
      <c r="K605" s="6"/>
      <c r="L605" s="129"/>
      <c r="M605" s="130"/>
      <c r="N605" s="65"/>
    </row>
    <row r="606" spans="1:35" ht="32.25" customHeight="1" thickBot="1" x14ac:dyDescent="0.3">
      <c r="A606" s="287" t="s">
        <v>73</v>
      </c>
      <c r="B606" s="283"/>
      <c r="C606" s="283"/>
      <c r="D606" s="283"/>
      <c r="E606" s="283"/>
      <c r="F606" s="283"/>
      <c r="G606" s="283"/>
      <c r="H606" s="283"/>
      <c r="I606" s="283"/>
      <c r="J606" s="283"/>
      <c r="K606" s="283"/>
      <c r="L606" s="66"/>
      <c r="M606" s="66"/>
      <c r="N606" s="66"/>
      <c r="O606" s="66"/>
      <c r="P606" s="66"/>
      <c r="Q606" s="66"/>
      <c r="R606" s="66"/>
      <c r="S606" s="66"/>
      <c r="T606" s="66"/>
      <c r="U606" s="66"/>
      <c r="V606" s="66"/>
      <c r="W606" s="66"/>
      <c r="X606" s="66"/>
      <c r="Y606" s="66"/>
      <c r="Z606" s="66"/>
      <c r="AA606" s="66"/>
      <c r="AB606" s="66"/>
      <c r="AC606" s="66"/>
      <c r="AD606" s="66"/>
      <c r="AE606" s="66"/>
      <c r="AF606" s="66"/>
      <c r="AG606" s="66"/>
      <c r="AH606" s="66"/>
      <c r="AI606" s="67"/>
    </row>
    <row r="607" spans="1:35" ht="17.25" customHeight="1" thickBot="1" x14ac:dyDescent="0.25">
      <c r="A607" s="288" t="s">
        <v>74</v>
      </c>
      <c r="B607" s="289"/>
      <c r="C607" s="289"/>
      <c r="D607" s="289"/>
      <c r="E607" s="289"/>
      <c r="F607" s="289"/>
      <c r="G607" s="289"/>
      <c r="H607" s="289"/>
      <c r="I607" s="289"/>
      <c r="J607" s="289"/>
      <c r="K607" s="289"/>
      <c r="L607" s="63"/>
      <c r="M607" s="63"/>
      <c r="N607" s="63"/>
      <c r="O607" s="63"/>
      <c r="P607" s="63"/>
      <c r="Q607" s="63"/>
      <c r="R607" s="63"/>
      <c r="S607" s="63"/>
      <c r="T607" s="63"/>
      <c r="U607" s="63"/>
      <c r="V607" s="63"/>
      <c r="W607" s="63"/>
      <c r="X607" s="63"/>
      <c r="Y607" s="63"/>
      <c r="Z607" s="63"/>
      <c r="AA607" s="63"/>
      <c r="AB607" s="63"/>
      <c r="AC607" s="63"/>
      <c r="AD607" s="63"/>
      <c r="AE607" s="63"/>
      <c r="AF607" s="63"/>
      <c r="AG607" s="63"/>
      <c r="AH607" s="63"/>
      <c r="AI607" s="64"/>
    </row>
    <row r="608" spans="1:35" ht="12.75" customHeight="1" x14ac:dyDescent="0.25">
      <c r="A608" s="536" t="s">
        <v>90</v>
      </c>
      <c r="B608" s="533" t="s">
        <v>155</v>
      </c>
      <c r="C608" s="276" t="s">
        <v>397</v>
      </c>
      <c r="D608" s="248" t="s">
        <v>452</v>
      </c>
      <c r="E608" s="222">
        <v>2015</v>
      </c>
      <c r="F608" s="156">
        <f t="shared" ref="F608:F613" si="118">SUM(G608:I608)</f>
        <v>25</v>
      </c>
      <c r="G608" s="7"/>
      <c r="H608" s="7"/>
      <c r="I608" s="7">
        <v>25</v>
      </c>
      <c r="J608" s="14"/>
      <c r="K608" s="248" t="s">
        <v>157</v>
      </c>
    </row>
    <row r="609" spans="1:12" ht="15" x14ac:dyDescent="0.25">
      <c r="A609" s="537"/>
      <c r="B609" s="534"/>
      <c r="C609" s="261"/>
      <c r="D609" s="261"/>
      <c r="E609" s="222">
        <v>2016</v>
      </c>
      <c r="F609" s="156">
        <f t="shared" si="118"/>
        <v>23.6</v>
      </c>
      <c r="G609" s="7"/>
      <c r="H609" s="7"/>
      <c r="I609" s="7">
        <f>26.3-2.7</f>
        <v>23.6</v>
      </c>
      <c r="J609" s="14"/>
      <c r="K609" s="249"/>
    </row>
    <row r="610" spans="1:12" ht="15" x14ac:dyDescent="0.25">
      <c r="A610" s="537"/>
      <c r="B610" s="534"/>
      <c r="C610" s="261"/>
      <c r="D610" s="261"/>
      <c r="E610" s="222">
        <v>2017</v>
      </c>
      <c r="F610" s="156">
        <f t="shared" si="118"/>
        <v>27</v>
      </c>
      <c r="G610" s="7"/>
      <c r="H610" s="7"/>
      <c r="I610" s="7">
        <v>27</v>
      </c>
      <c r="J610" s="14"/>
      <c r="K610" s="249"/>
      <c r="L610" s="99"/>
    </row>
    <row r="611" spans="1:12" ht="15" x14ac:dyDescent="0.25">
      <c r="A611" s="537"/>
      <c r="B611" s="534"/>
      <c r="C611" s="261"/>
      <c r="D611" s="261"/>
      <c r="E611" s="222">
        <v>2018</v>
      </c>
      <c r="F611" s="156">
        <f t="shared" si="118"/>
        <v>27.9</v>
      </c>
      <c r="G611" s="7"/>
      <c r="H611" s="7"/>
      <c r="I611" s="7">
        <v>27.9</v>
      </c>
      <c r="J611" s="14"/>
      <c r="K611" s="249"/>
      <c r="L611" s="99"/>
    </row>
    <row r="612" spans="1:12" ht="15" x14ac:dyDescent="0.25">
      <c r="A612" s="537"/>
      <c r="B612" s="534"/>
      <c r="C612" s="261"/>
      <c r="D612" s="261"/>
      <c r="E612" s="222">
        <v>2019</v>
      </c>
      <c r="F612" s="156">
        <f t="shared" si="118"/>
        <v>28.799999999999997</v>
      </c>
      <c r="G612" s="7"/>
      <c r="H612" s="7"/>
      <c r="I612" s="7">
        <f>70-41.2</f>
        <v>28.799999999999997</v>
      </c>
      <c r="J612" s="14"/>
      <c r="K612" s="249"/>
      <c r="L612" s="99"/>
    </row>
    <row r="613" spans="1:12" ht="15" x14ac:dyDescent="0.25">
      <c r="A613" s="537"/>
      <c r="B613" s="534"/>
      <c r="C613" s="261"/>
      <c r="D613" s="261"/>
      <c r="E613" s="222">
        <v>2020</v>
      </c>
      <c r="F613" s="156">
        <f t="shared" si="118"/>
        <v>9.7000000000000028</v>
      </c>
      <c r="G613" s="8"/>
      <c r="H613" s="8"/>
      <c r="I613" s="7">
        <f>70-60.3</f>
        <v>9.7000000000000028</v>
      </c>
      <c r="J613" s="13"/>
      <c r="K613" s="249"/>
    </row>
    <row r="614" spans="1:12" ht="15" x14ac:dyDescent="0.25">
      <c r="A614" s="537"/>
      <c r="B614" s="534"/>
      <c r="C614" s="261"/>
      <c r="D614" s="261"/>
      <c r="E614" s="222">
        <v>2021</v>
      </c>
      <c r="F614" s="156">
        <f t="shared" ref="F614:F618" si="119">SUM(G614:I614)</f>
        <v>60</v>
      </c>
      <c r="G614" s="7"/>
      <c r="H614" s="7"/>
      <c r="I614" s="7">
        <v>60</v>
      </c>
      <c r="J614" s="14"/>
      <c r="K614" s="249"/>
    </row>
    <row r="615" spans="1:12" ht="15" x14ac:dyDescent="0.25">
      <c r="A615" s="537"/>
      <c r="B615" s="534"/>
      <c r="C615" s="261"/>
      <c r="D615" s="261"/>
      <c r="E615" s="222">
        <v>2022</v>
      </c>
      <c r="F615" s="156">
        <f t="shared" si="119"/>
        <v>0</v>
      </c>
      <c r="G615" s="7"/>
      <c r="H615" s="7"/>
      <c r="I615" s="7">
        <f>70-70</f>
        <v>0</v>
      </c>
      <c r="J615" s="14"/>
      <c r="K615" s="249"/>
      <c r="L615" s="99"/>
    </row>
    <row r="616" spans="1:12" ht="15" x14ac:dyDescent="0.25">
      <c r="A616" s="537"/>
      <c r="B616" s="534"/>
      <c r="C616" s="261"/>
      <c r="D616" s="261"/>
      <c r="E616" s="222">
        <v>2023</v>
      </c>
      <c r="F616" s="156">
        <f t="shared" si="119"/>
        <v>0</v>
      </c>
      <c r="G616" s="7"/>
      <c r="H616" s="7"/>
      <c r="I616" s="7">
        <f>72.8-72.8</f>
        <v>0</v>
      </c>
      <c r="J616" s="14"/>
      <c r="K616" s="249"/>
      <c r="L616" s="99"/>
    </row>
    <row r="617" spans="1:12" ht="15" x14ac:dyDescent="0.25">
      <c r="A617" s="537"/>
      <c r="B617" s="534"/>
      <c r="C617" s="261"/>
      <c r="D617" s="261"/>
      <c r="E617" s="222">
        <v>2024</v>
      </c>
      <c r="F617" s="156">
        <f t="shared" si="119"/>
        <v>75.7</v>
      </c>
      <c r="G617" s="7"/>
      <c r="H617" s="7"/>
      <c r="I617" s="7">
        <v>75.7</v>
      </c>
      <c r="J617" s="14"/>
      <c r="K617" s="249"/>
      <c r="L617" s="99"/>
    </row>
    <row r="618" spans="1:12" ht="15" x14ac:dyDescent="0.25">
      <c r="A618" s="537"/>
      <c r="B618" s="534"/>
      <c r="C618" s="261"/>
      <c r="D618" s="261"/>
      <c r="E618" s="222">
        <v>2025</v>
      </c>
      <c r="F618" s="156">
        <f t="shared" si="119"/>
        <v>78.7</v>
      </c>
      <c r="G618" s="8"/>
      <c r="H618" s="8"/>
      <c r="I618" s="7">
        <v>78.7</v>
      </c>
      <c r="J618" s="13"/>
      <c r="K618" s="249"/>
    </row>
    <row r="619" spans="1:12" ht="14.25" x14ac:dyDescent="0.2">
      <c r="A619" s="538"/>
      <c r="B619" s="535"/>
      <c r="C619" s="261"/>
      <c r="D619" s="277"/>
      <c r="E619" s="18" t="s">
        <v>18</v>
      </c>
      <c r="F619" s="140">
        <f>SUM(F608:F618)</f>
        <v>356.4</v>
      </c>
      <c r="G619" s="8"/>
      <c r="H619" s="8"/>
      <c r="I619" s="8">
        <f>SUM(I608:I618)</f>
        <v>356.4</v>
      </c>
      <c r="J619" s="13"/>
      <c r="K619" s="249"/>
    </row>
    <row r="620" spans="1:12" ht="15" x14ac:dyDescent="0.25">
      <c r="A620" s="536" t="s">
        <v>67</v>
      </c>
      <c r="B620" s="533" t="s">
        <v>213</v>
      </c>
      <c r="C620" s="272" t="s">
        <v>405</v>
      </c>
      <c r="D620" s="248" t="s">
        <v>452</v>
      </c>
      <c r="E620" s="222">
        <v>2015</v>
      </c>
      <c r="F620" s="156">
        <f t="shared" ref="F620:F625" si="120">SUM(G620:I620)</f>
        <v>15</v>
      </c>
      <c r="G620" s="7"/>
      <c r="H620" s="7"/>
      <c r="I620" s="7">
        <v>15</v>
      </c>
      <c r="J620" s="14"/>
      <c r="K620" s="249"/>
    </row>
    <row r="621" spans="1:12" ht="15" x14ac:dyDescent="0.25">
      <c r="A621" s="537"/>
      <c r="B621" s="534"/>
      <c r="C621" s="284"/>
      <c r="D621" s="261"/>
      <c r="E621" s="222">
        <v>2016</v>
      </c>
      <c r="F621" s="156">
        <f t="shared" si="120"/>
        <v>15</v>
      </c>
      <c r="G621" s="7"/>
      <c r="H621" s="7"/>
      <c r="I621" s="7">
        <f>16-1</f>
        <v>15</v>
      </c>
      <c r="J621" s="14"/>
      <c r="K621" s="249"/>
    </row>
    <row r="622" spans="1:12" ht="15" x14ac:dyDescent="0.25">
      <c r="A622" s="537"/>
      <c r="B622" s="534"/>
      <c r="C622" s="284"/>
      <c r="D622" s="261"/>
      <c r="E622" s="222">
        <v>2017</v>
      </c>
      <c r="F622" s="156">
        <f t="shared" si="120"/>
        <v>16</v>
      </c>
      <c r="G622" s="7"/>
      <c r="H622" s="7"/>
      <c r="I622" s="7">
        <v>16</v>
      </c>
      <c r="J622" s="14"/>
      <c r="K622" s="249"/>
      <c r="L622" s="99"/>
    </row>
    <row r="623" spans="1:12" ht="15" x14ac:dyDescent="0.25">
      <c r="A623" s="537"/>
      <c r="B623" s="534"/>
      <c r="C623" s="284"/>
      <c r="D623" s="261"/>
      <c r="E623" s="222">
        <v>2018</v>
      </c>
      <c r="F623" s="156">
        <f t="shared" si="120"/>
        <v>0.60000000000000142</v>
      </c>
      <c r="G623" s="7"/>
      <c r="H623" s="7"/>
      <c r="I623" s="7">
        <f>19.5-18.9</f>
        <v>0.60000000000000142</v>
      </c>
      <c r="J623" s="14"/>
      <c r="K623" s="249"/>
      <c r="L623" s="99"/>
    </row>
    <row r="624" spans="1:12" ht="15" x14ac:dyDescent="0.25">
      <c r="A624" s="537"/>
      <c r="B624" s="534"/>
      <c r="C624" s="284"/>
      <c r="D624" s="261"/>
      <c r="E624" s="222">
        <v>2019</v>
      </c>
      <c r="F624" s="156">
        <f t="shared" si="120"/>
        <v>30</v>
      </c>
      <c r="G624" s="7"/>
      <c r="H624" s="7"/>
      <c r="I624" s="7">
        <v>30</v>
      </c>
      <c r="J624" s="14"/>
      <c r="K624" s="249"/>
      <c r="L624" s="99"/>
    </row>
    <row r="625" spans="1:13" ht="15" x14ac:dyDescent="0.25">
      <c r="A625" s="537"/>
      <c r="B625" s="534"/>
      <c r="C625" s="284"/>
      <c r="D625" s="261"/>
      <c r="E625" s="222">
        <v>2020</v>
      </c>
      <c r="F625" s="156">
        <f t="shared" si="120"/>
        <v>0</v>
      </c>
      <c r="G625" s="8"/>
      <c r="H625" s="8"/>
      <c r="I625" s="7">
        <v>0</v>
      </c>
      <c r="J625" s="13"/>
      <c r="K625" s="249"/>
    </row>
    <row r="626" spans="1:13" ht="15" x14ac:dyDescent="0.25">
      <c r="A626" s="537"/>
      <c r="B626" s="534"/>
      <c r="C626" s="284"/>
      <c r="D626" s="261"/>
      <c r="E626" s="222">
        <v>2021</v>
      </c>
      <c r="F626" s="156">
        <f t="shared" ref="F626" si="121">SUM(G626:I626)</f>
        <v>0</v>
      </c>
      <c r="G626" s="8"/>
      <c r="H626" s="8"/>
      <c r="I626" s="7">
        <v>0</v>
      </c>
      <c r="J626" s="13"/>
      <c r="K626" s="249"/>
    </row>
    <row r="627" spans="1:13" ht="25.5" customHeight="1" x14ac:dyDescent="0.2">
      <c r="A627" s="538"/>
      <c r="B627" s="535"/>
      <c r="C627" s="284"/>
      <c r="D627" s="277"/>
      <c r="E627" s="18" t="s">
        <v>18</v>
      </c>
      <c r="F627" s="140">
        <f>SUM(F620:F625)</f>
        <v>76.599999999999994</v>
      </c>
      <c r="G627" s="8"/>
      <c r="H627" s="8"/>
      <c r="I627" s="8">
        <f>SUM(I620:I625)</f>
        <v>76.599999999999994</v>
      </c>
      <c r="J627" s="13"/>
      <c r="K627" s="250"/>
    </row>
    <row r="628" spans="1:13" ht="14.25" x14ac:dyDescent="0.2">
      <c r="A628" s="287" t="s">
        <v>75</v>
      </c>
      <c r="B628" s="283"/>
      <c r="C628" s="532"/>
      <c r="D628" s="283"/>
      <c r="E628" s="283"/>
      <c r="F628" s="283"/>
      <c r="G628" s="283"/>
      <c r="H628" s="283"/>
      <c r="I628" s="283"/>
      <c r="J628" s="283"/>
      <c r="K628" s="283"/>
    </row>
    <row r="629" spans="1:13" ht="15" x14ac:dyDescent="0.25">
      <c r="A629" s="539" t="s">
        <v>43</v>
      </c>
      <c r="B629" s="542" t="s">
        <v>129</v>
      </c>
      <c r="C629" s="276" t="s">
        <v>405</v>
      </c>
      <c r="D629" s="248" t="s">
        <v>452</v>
      </c>
      <c r="E629" s="222">
        <v>2015</v>
      </c>
      <c r="F629" s="156">
        <f t="shared" ref="F629:F634" si="122">SUM(G629:I629)</f>
        <v>10</v>
      </c>
      <c r="G629" s="7"/>
      <c r="H629" s="7"/>
      <c r="I629" s="7">
        <v>10</v>
      </c>
      <c r="J629" s="14"/>
      <c r="K629" s="248" t="s">
        <v>156</v>
      </c>
    </row>
    <row r="630" spans="1:13" ht="15" x14ac:dyDescent="0.25">
      <c r="A630" s="540"/>
      <c r="B630" s="379"/>
      <c r="C630" s="261"/>
      <c r="D630" s="261"/>
      <c r="E630" s="222">
        <v>2016</v>
      </c>
      <c r="F630" s="156">
        <f t="shared" si="122"/>
        <v>7.7</v>
      </c>
      <c r="G630" s="7"/>
      <c r="H630" s="7"/>
      <c r="I630" s="7">
        <f>11-3.3</f>
        <v>7.7</v>
      </c>
      <c r="J630" s="14"/>
      <c r="K630" s="249"/>
      <c r="L630" s="99"/>
    </row>
    <row r="631" spans="1:13" ht="15" x14ac:dyDescent="0.25">
      <c r="A631" s="540"/>
      <c r="B631" s="379"/>
      <c r="C631" s="261"/>
      <c r="D631" s="261"/>
      <c r="E631" s="222">
        <v>2017</v>
      </c>
      <c r="F631" s="156">
        <f t="shared" si="122"/>
        <v>8.6999999999999993</v>
      </c>
      <c r="G631" s="7"/>
      <c r="H631" s="7"/>
      <c r="I631" s="7">
        <v>8.6999999999999993</v>
      </c>
      <c r="J631" s="14"/>
      <c r="K631" s="249"/>
      <c r="L631" s="99"/>
    </row>
    <row r="632" spans="1:13" ht="15" x14ac:dyDescent="0.25">
      <c r="A632" s="540"/>
      <c r="B632" s="379"/>
      <c r="C632" s="261"/>
      <c r="D632" s="261"/>
      <c r="E632" s="222">
        <v>2018</v>
      </c>
      <c r="F632" s="156">
        <f t="shared" si="122"/>
        <v>13</v>
      </c>
      <c r="G632" s="7"/>
      <c r="H632" s="7"/>
      <c r="I632" s="7">
        <v>13</v>
      </c>
      <c r="J632" s="14"/>
      <c r="K632" s="249"/>
      <c r="L632" s="99"/>
    </row>
    <row r="633" spans="1:13" ht="15" x14ac:dyDescent="0.25">
      <c r="A633" s="540"/>
      <c r="B633" s="379"/>
      <c r="C633" s="261"/>
      <c r="D633" s="261"/>
      <c r="E633" s="222">
        <v>2019</v>
      </c>
      <c r="F633" s="156">
        <f t="shared" si="122"/>
        <v>0</v>
      </c>
      <c r="G633" s="7"/>
      <c r="H633" s="7"/>
      <c r="I633" s="7">
        <f>13-13</f>
        <v>0</v>
      </c>
      <c r="J633" s="14"/>
      <c r="K633" s="249"/>
      <c r="L633" s="99"/>
    </row>
    <row r="634" spans="1:13" ht="15" x14ac:dyDescent="0.25">
      <c r="A634" s="540"/>
      <c r="B634" s="379"/>
      <c r="C634" s="261"/>
      <c r="D634" s="261"/>
      <c r="E634" s="222">
        <v>2020</v>
      </c>
      <c r="F634" s="156">
        <f t="shared" si="122"/>
        <v>0</v>
      </c>
      <c r="G634" s="7"/>
      <c r="H634" s="7"/>
      <c r="I634" s="7">
        <v>0</v>
      </c>
      <c r="J634" s="14"/>
      <c r="K634" s="249"/>
    </row>
    <row r="635" spans="1:13" ht="15" x14ac:dyDescent="0.25">
      <c r="A635" s="541"/>
      <c r="B635" s="380"/>
      <c r="C635" s="261"/>
      <c r="D635" s="261"/>
      <c r="E635" s="222">
        <v>2021</v>
      </c>
      <c r="F635" s="156">
        <f t="shared" ref="F635" si="123">SUM(G635:I635)</f>
        <v>0</v>
      </c>
      <c r="G635" s="7"/>
      <c r="H635" s="7"/>
      <c r="I635" s="7">
        <v>0</v>
      </c>
      <c r="J635" s="14"/>
      <c r="K635" s="249"/>
    </row>
    <row r="636" spans="1:13" ht="27.75" customHeight="1" thickBot="1" x14ac:dyDescent="0.25">
      <c r="A636" s="541"/>
      <c r="B636" s="380"/>
      <c r="C636" s="261"/>
      <c r="D636" s="261"/>
      <c r="E636" s="26" t="s">
        <v>18</v>
      </c>
      <c r="F636" s="146">
        <f>SUM(F629:F634)</f>
        <v>39.4</v>
      </c>
      <c r="G636" s="9"/>
      <c r="H636" s="9"/>
      <c r="I636" s="9">
        <f>SUM(I629:I634)</f>
        <v>39.4</v>
      </c>
      <c r="J636" s="22"/>
      <c r="K636" s="249"/>
      <c r="L636" s="126"/>
      <c r="M636" s="127"/>
    </row>
    <row r="637" spans="1:13" ht="18" customHeight="1" thickBot="1" x14ac:dyDescent="0.25">
      <c r="A637" s="391" t="s">
        <v>184</v>
      </c>
      <c r="B637" s="392"/>
      <c r="C637" s="392"/>
      <c r="D637" s="392"/>
      <c r="E637" s="93" t="s">
        <v>395</v>
      </c>
      <c r="F637" s="149">
        <f>F619+F636+F627</f>
        <v>472.4</v>
      </c>
      <c r="G637" s="149"/>
      <c r="H637" s="149">
        <f>H619+H636+H627</f>
        <v>0</v>
      </c>
      <c r="I637" s="149">
        <f>I619+I636+I627</f>
        <v>472.4</v>
      </c>
      <c r="J637" s="94"/>
      <c r="K637" s="95"/>
    </row>
    <row r="638" spans="1:13" ht="15" thickBot="1" x14ac:dyDescent="0.25">
      <c r="A638" s="369" t="s">
        <v>185</v>
      </c>
      <c r="B638" s="370"/>
      <c r="C638" s="370"/>
      <c r="D638" s="370"/>
      <c r="E638" s="370"/>
      <c r="F638" s="370"/>
      <c r="G638" s="370"/>
      <c r="H638" s="370"/>
      <c r="I638" s="370"/>
      <c r="J638" s="370"/>
      <c r="K638" s="371"/>
    </row>
    <row r="639" spans="1:13" ht="14.25" x14ac:dyDescent="0.2">
      <c r="A639" s="554" t="s">
        <v>76</v>
      </c>
      <c r="B639" s="555"/>
      <c r="C639" s="555"/>
      <c r="D639" s="555"/>
      <c r="E639" s="556"/>
      <c r="F639" s="556"/>
      <c r="G639" s="556"/>
      <c r="H639" s="556"/>
      <c r="I639" s="556"/>
      <c r="J639" s="556"/>
      <c r="K639" s="557"/>
    </row>
    <row r="640" spans="1:13" ht="15" x14ac:dyDescent="0.25">
      <c r="A640" s="372" t="s">
        <v>77</v>
      </c>
      <c r="B640" s="258" t="s">
        <v>465</v>
      </c>
      <c r="C640" s="276" t="s">
        <v>397</v>
      </c>
      <c r="D640" s="248" t="s">
        <v>452</v>
      </c>
      <c r="E640" s="222">
        <v>2015</v>
      </c>
      <c r="F640" s="156">
        <f t="shared" ref="F640:F645" si="124">SUM(G640:I640)</f>
        <v>50</v>
      </c>
      <c r="G640" s="7"/>
      <c r="H640" s="7"/>
      <c r="I640" s="7">
        <v>50</v>
      </c>
      <c r="J640" s="14"/>
      <c r="K640" s="248" t="s">
        <v>158</v>
      </c>
    </row>
    <row r="641" spans="1:12" ht="15" x14ac:dyDescent="0.25">
      <c r="A641" s="373"/>
      <c r="B641" s="283"/>
      <c r="C641" s="261"/>
      <c r="D641" s="261"/>
      <c r="E641" s="222">
        <v>2016</v>
      </c>
      <c r="F641" s="156">
        <f t="shared" si="124"/>
        <v>83</v>
      </c>
      <c r="G641" s="7"/>
      <c r="H641" s="7"/>
      <c r="I641" s="7">
        <f>60+23</f>
        <v>83</v>
      </c>
      <c r="J641" s="14"/>
      <c r="K641" s="249"/>
      <c r="L641" s="99"/>
    </row>
    <row r="642" spans="1:12" ht="15" x14ac:dyDescent="0.25">
      <c r="A642" s="373"/>
      <c r="B642" s="283"/>
      <c r="C642" s="261"/>
      <c r="D642" s="261"/>
      <c r="E642" s="222">
        <v>2017</v>
      </c>
      <c r="F642" s="156">
        <f t="shared" si="124"/>
        <v>70</v>
      </c>
      <c r="G642" s="7"/>
      <c r="H642" s="7"/>
      <c r="I642" s="7">
        <v>70</v>
      </c>
      <c r="J642" s="14"/>
      <c r="K642" s="249"/>
      <c r="L642" s="99"/>
    </row>
    <row r="643" spans="1:12" ht="15" x14ac:dyDescent="0.25">
      <c r="A643" s="373"/>
      <c r="B643" s="283"/>
      <c r="C643" s="261"/>
      <c r="D643" s="261"/>
      <c r="E643" s="222">
        <v>2018</v>
      </c>
      <c r="F643" s="156">
        <f t="shared" si="124"/>
        <v>96.2</v>
      </c>
      <c r="G643" s="7"/>
      <c r="H643" s="7"/>
      <c r="I643" s="7">
        <v>96.2</v>
      </c>
      <c r="J643" s="14"/>
      <c r="K643" s="249"/>
      <c r="L643" s="99"/>
    </row>
    <row r="644" spans="1:12" ht="15" x14ac:dyDescent="0.25">
      <c r="A644" s="373"/>
      <c r="B644" s="283"/>
      <c r="C644" s="261"/>
      <c r="D644" s="261"/>
      <c r="E644" s="222">
        <v>2019</v>
      </c>
      <c r="F644" s="156">
        <f t="shared" si="124"/>
        <v>165</v>
      </c>
      <c r="G644" s="7"/>
      <c r="H644" s="7"/>
      <c r="I644" s="7">
        <v>165</v>
      </c>
      <c r="J644" s="14"/>
      <c r="K644" s="249"/>
      <c r="L644" s="99"/>
    </row>
    <row r="645" spans="1:12" ht="15" x14ac:dyDescent="0.25">
      <c r="A645" s="373"/>
      <c r="B645" s="283"/>
      <c r="C645" s="261"/>
      <c r="D645" s="261"/>
      <c r="E645" s="222">
        <v>2020</v>
      </c>
      <c r="F645" s="156">
        <f t="shared" si="124"/>
        <v>83</v>
      </c>
      <c r="G645" s="7"/>
      <c r="H645" s="7"/>
      <c r="I645" s="7">
        <f>83</f>
        <v>83</v>
      </c>
      <c r="J645" s="14"/>
      <c r="K645" s="249"/>
    </row>
    <row r="646" spans="1:12" ht="15" x14ac:dyDescent="0.25">
      <c r="A646" s="373"/>
      <c r="B646" s="289"/>
      <c r="C646" s="261"/>
      <c r="D646" s="261"/>
      <c r="E646" s="222">
        <v>2021</v>
      </c>
      <c r="F646" s="156">
        <f t="shared" ref="F646:F649" si="125">SUM(G646:I646)</f>
        <v>83</v>
      </c>
      <c r="G646" s="7"/>
      <c r="H646" s="7"/>
      <c r="I646" s="7">
        <v>83</v>
      </c>
      <c r="J646" s="14"/>
      <c r="K646" s="249"/>
      <c r="L646" s="99"/>
    </row>
    <row r="647" spans="1:12" ht="15" x14ac:dyDescent="0.25">
      <c r="A647" s="373"/>
      <c r="B647" s="289"/>
      <c r="C647" s="261"/>
      <c r="D647" s="261"/>
      <c r="E647" s="222">
        <v>2022</v>
      </c>
      <c r="F647" s="156">
        <f t="shared" si="125"/>
        <v>0</v>
      </c>
      <c r="G647" s="7"/>
      <c r="H647" s="7"/>
      <c r="I647" s="7">
        <f>80-80</f>
        <v>0</v>
      </c>
      <c r="J647" s="14"/>
      <c r="K647" s="249"/>
      <c r="L647" s="99"/>
    </row>
    <row r="648" spans="1:12" ht="15" x14ac:dyDescent="0.25">
      <c r="A648" s="373"/>
      <c r="B648" s="289"/>
      <c r="C648" s="261"/>
      <c r="D648" s="261"/>
      <c r="E648" s="222">
        <v>2023</v>
      </c>
      <c r="F648" s="156">
        <f t="shared" si="125"/>
        <v>0</v>
      </c>
      <c r="G648" s="7"/>
      <c r="H648" s="7"/>
      <c r="I648" s="7">
        <f>83.2-83.2</f>
        <v>0</v>
      </c>
      <c r="J648" s="14"/>
      <c r="K648" s="249"/>
      <c r="L648" s="99"/>
    </row>
    <row r="649" spans="1:12" ht="15" x14ac:dyDescent="0.25">
      <c r="A649" s="373"/>
      <c r="B649" s="289"/>
      <c r="C649" s="261"/>
      <c r="D649" s="261"/>
      <c r="E649" s="222">
        <v>2024</v>
      </c>
      <c r="F649" s="156">
        <f t="shared" si="125"/>
        <v>86.5</v>
      </c>
      <c r="G649" s="7"/>
      <c r="H649" s="7"/>
      <c r="I649" s="7">
        <v>86.5</v>
      </c>
      <c r="J649" s="14"/>
      <c r="K649" s="249"/>
      <c r="L649" s="99"/>
    </row>
    <row r="650" spans="1:12" ht="15" x14ac:dyDescent="0.25">
      <c r="A650" s="373"/>
      <c r="B650" s="289"/>
      <c r="C650" s="261"/>
      <c r="D650" s="261"/>
      <c r="E650" s="222">
        <v>2025</v>
      </c>
      <c r="F650" s="156">
        <f t="shared" ref="F650" si="126">SUM(G650:I650)</f>
        <v>90</v>
      </c>
      <c r="G650" s="7"/>
      <c r="H650" s="7"/>
      <c r="I650" s="7">
        <v>90</v>
      </c>
      <c r="J650" s="14"/>
      <c r="K650" s="249"/>
      <c r="L650" s="99"/>
    </row>
    <row r="651" spans="1:12" ht="14.25" x14ac:dyDescent="0.2">
      <c r="A651" s="373"/>
      <c r="B651" s="289"/>
      <c r="C651" s="261"/>
      <c r="D651" s="277"/>
      <c r="E651" s="26" t="s">
        <v>18</v>
      </c>
      <c r="F651" s="140">
        <f>SUM(F640:F650)</f>
        <v>806.7</v>
      </c>
      <c r="G651" s="8"/>
      <c r="H651" s="8"/>
      <c r="I651" s="8">
        <f>SUM(I640:I650)</f>
        <v>806.7</v>
      </c>
      <c r="J651" s="14"/>
      <c r="K651" s="249"/>
    </row>
    <row r="652" spans="1:12" ht="15" x14ac:dyDescent="0.25">
      <c r="A652" s="372" t="s">
        <v>78</v>
      </c>
      <c r="B652" s="258" t="s">
        <v>79</v>
      </c>
      <c r="C652" s="272" t="s">
        <v>68</v>
      </c>
      <c r="D652" s="248" t="s">
        <v>452</v>
      </c>
      <c r="E652" s="222">
        <v>2015</v>
      </c>
      <c r="F652" s="157">
        <f t="shared" ref="F652:F657" si="127">SUM(G652:I652)</f>
        <v>150</v>
      </c>
      <c r="G652" s="7"/>
      <c r="H652" s="7"/>
      <c r="I652" s="7">
        <v>150</v>
      </c>
      <c r="J652" s="14"/>
      <c r="K652" s="249"/>
    </row>
    <row r="653" spans="1:12" ht="15" x14ac:dyDescent="0.25">
      <c r="A653" s="373"/>
      <c r="B653" s="258"/>
      <c r="C653" s="284"/>
      <c r="D653" s="261"/>
      <c r="E653" s="222">
        <v>2016</v>
      </c>
      <c r="F653" s="157">
        <f t="shared" si="127"/>
        <v>180</v>
      </c>
      <c r="G653" s="7"/>
      <c r="H653" s="7"/>
      <c r="I653" s="7">
        <v>180</v>
      </c>
      <c r="J653" s="14"/>
      <c r="K653" s="249"/>
    </row>
    <row r="654" spans="1:12" ht="15" x14ac:dyDescent="0.25">
      <c r="A654" s="373"/>
      <c r="B654" s="258"/>
      <c r="C654" s="284"/>
      <c r="D654" s="261"/>
      <c r="E654" s="222">
        <v>2017</v>
      </c>
      <c r="F654" s="157">
        <f t="shared" si="127"/>
        <v>0</v>
      </c>
      <c r="G654" s="7"/>
      <c r="H654" s="7"/>
      <c r="I654" s="7">
        <v>0</v>
      </c>
      <c r="J654" s="14"/>
      <c r="K654" s="249"/>
      <c r="L654" s="99"/>
    </row>
    <row r="655" spans="1:12" ht="15" x14ac:dyDescent="0.25">
      <c r="A655" s="373"/>
      <c r="B655" s="258"/>
      <c r="C655" s="284"/>
      <c r="D655" s="261"/>
      <c r="E655" s="222">
        <v>2018</v>
      </c>
      <c r="F655" s="157">
        <f t="shared" si="127"/>
        <v>0</v>
      </c>
      <c r="G655" s="7"/>
      <c r="H655" s="7"/>
      <c r="I655" s="7">
        <v>0</v>
      </c>
      <c r="J655" s="14"/>
      <c r="K655" s="249"/>
      <c r="L655" s="99"/>
    </row>
    <row r="656" spans="1:12" ht="15" x14ac:dyDescent="0.25">
      <c r="A656" s="373"/>
      <c r="B656" s="258"/>
      <c r="C656" s="284"/>
      <c r="D656" s="261"/>
      <c r="E656" s="222">
        <v>2019</v>
      </c>
      <c r="F656" s="157">
        <f t="shared" si="127"/>
        <v>0</v>
      </c>
      <c r="G656" s="7"/>
      <c r="H656" s="7"/>
      <c r="I656" s="7">
        <v>0</v>
      </c>
      <c r="J656" s="14"/>
      <c r="K656" s="249"/>
      <c r="L656" s="99"/>
    </row>
    <row r="657" spans="1:12" ht="15" x14ac:dyDescent="0.25">
      <c r="A657" s="373"/>
      <c r="B657" s="258"/>
      <c r="C657" s="284"/>
      <c r="D657" s="261"/>
      <c r="E657" s="222">
        <v>2020</v>
      </c>
      <c r="F657" s="157">
        <f t="shared" si="127"/>
        <v>0</v>
      </c>
      <c r="G657" s="7"/>
      <c r="H657" s="7"/>
      <c r="I657" s="7">
        <v>0</v>
      </c>
      <c r="J657" s="14"/>
      <c r="K657" s="249"/>
    </row>
    <row r="658" spans="1:12" ht="37.5" customHeight="1" x14ac:dyDescent="0.2">
      <c r="A658" s="373"/>
      <c r="B658" s="289"/>
      <c r="C658" s="284"/>
      <c r="D658" s="277"/>
      <c r="E658" s="18" t="s">
        <v>18</v>
      </c>
      <c r="F658" s="158">
        <f>SUM(F652:F657)</f>
        <v>330</v>
      </c>
      <c r="G658" s="8"/>
      <c r="H658" s="8"/>
      <c r="I658" s="8">
        <f>SUM(I652:I657)</f>
        <v>330</v>
      </c>
      <c r="J658" s="14"/>
      <c r="K658" s="249"/>
    </row>
    <row r="659" spans="1:12" ht="15" x14ac:dyDescent="0.25">
      <c r="A659" s="372" t="s">
        <v>80</v>
      </c>
      <c r="B659" s="258" t="s">
        <v>426</v>
      </c>
      <c r="C659" s="290" t="s">
        <v>405</v>
      </c>
      <c r="D659" s="248" t="s">
        <v>452</v>
      </c>
      <c r="E659" s="222">
        <v>2015</v>
      </c>
      <c r="F659" s="157">
        <f t="shared" ref="F659:F664" si="128">SUM(G659:I659)</f>
        <v>55</v>
      </c>
      <c r="G659" s="7"/>
      <c r="H659" s="7"/>
      <c r="I659" s="7">
        <v>55</v>
      </c>
      <c r="J659" s="14"/>
      <c r="K659" s="249"/>
    </row>
    <row r="660" spans="1:12" ht="15" x14ac:dyDescent="0.25">
      <c r="A660" s="373"/>
      <c r="B660" s="258"/>
      <c r="C660" s="261"/>
      <c r="D660" s="261"/>
      <c r="E660" s="222">
        <v>2016</v>
      </c>
      <c r="F660" s="157">
        <f t="shared" si="128"/>
        <v>57.4</v>
      </c>
      <c r="G660" s="7"/>
      <c r="H660" s="7"/>
      <c r="I660" s="7">
        <f>60-2.6</f>
        <v>57.4</v>
      </c>
      <c r="J660" s="14"/>
      <c r="K660" s="249"/>
      <c r="L660" s="99"/>
    </row>
    <row r="661" spans="1:12" ht="15" x14ac:dyDescent="0.25">
      <c r="A661" s="373"/>
      <c r="B661" s="258"/>
      <c r="C661" s="261"/>
      <c r="D661" s="261"/>
      <c r="E661" s="222">
        <v>2017</v>
      </c>
      <c r="F661" s="157">
        <f t="shared" si="128"/>
        <v>65</v>
      </c>
      <c r="G661" s="7"/>
      <c r="H661" s="7"/>
      <c r="I661" s="7">
        <v>65</v>
      </c>
      <c r="J661" s="14"/>
      <c r="K661" s="249"/>
      <c r="L661" s="99"/>
    </row>
    <row r="662" spans="1:12" ht="15" x14ac:dyDescent="0.25">
      <c r="A662" s="373"/>
      <c r="B662" s="258"/>
      <c r="C662" s="261"/>
      <c r="D662" s="261"/>
      <c r="E662" s="222">
        <v>2018</v>
      </c>
      <c r="F662" s="157">
        <f t="shared" si="128"/>
        <v>70</v>
      </c>
      <c r="G662" s="7"/>
      <c r="H662" s="7"/>
      <c r="I662" s="7">
        <v>70</v>
      </c>
      <c r="J662" s="14"/>
      <c r="K662" s="249"/>
      <c r="L662" s="99"/>
    </row>
    <row r="663" spans="1:12" ht="15" x14ac:dyDescent="0.25">
      <c r="A663" s="373"/>
      <c r="B663" s="258"/>
      <c r="C663" s="261"/>
      <c r="D663" s="261"/>
      <c r="E663" s="222">
        <v>2019</v>
      </c>
      <c r="F663" s="157">
        <f t="shared" si="128"/>
        <v>0</v>
      </c>
      <c r="G663" s="7"/>
      <c r="H663" s="7"/>
      <c r="I663" s="7">
        <v>0</v>
      </c>
      <c r="J663" s="14"/>
      <c r="K663" s="249"/>
      <c r="L663" s="99"/>
    </row>
    <row r="664" spans="1:12" ht="15" x14ac:dyDescent="0.25">
      <c r="A664" s="373"/>
      <c r="B664" s="258"/>
      <c r="C664" s="261"/>
      <c r="D664" s="261"/>
      <c r="E664" s="222">
        <v>2020</v>
      </c>
      <c r="F664" s="157">
        <f t="shared" si="128"/>
        <v>0</v>
      </c>
      <c r="G664" s="7"/>
      <c r="H664" s="7"/>
      <c r="I664" s="7">
        <v>0</v>
      </c>
      <c r="J664" s="14"/>
      <c r="K664" s="249"/>
    </row>
    <row r="665" spans="1:12" ht="15" x14ac:dyDescent="0.25">
      <c r="A665" s="373"/>
      <c r="B665" s="259"/>
      <c r="C665" s="261"/>
      <c r="D665" s="261"/>
      <c r="E665" s="222">
        <v>2021</v>
      </c>
      <c r="F665" s="157">
        <f t="shared" ref="F665" si="129">SUM(G665:I665)</f>
        <v>0</v>
      </c>
      <c r="G665" s="7"/>
      <c r="H665" s="7"/>
      <c r="I665" s="7">
        <v>0</v>
      </c>
      <c r="J665" s="14"/>
      <c r="K665" s="249"/>
    </row>
    <row r="666" spans="1:12" ht="23.25" customHeight="1" x14ac:dyDescent="0.2">
      <c r="A666" s="373"/>
      <c r="B666" s="259"/>
      <c r="C666" s="261"/>
      <c r="D666" s="277"/>
      <c r="E666" s="18" t="s">
        <v>18</v>
      </c>
      <c r="F666" s="159">
        <f>SUM(F659:F664)</f>
        <v>247.4</v>
      </c>
      <c r="G666" s="8"/>
      <c r="H666" s="8"/>
      <c r="I666" s="8">
        <f>SUM(I659:I664)</f>
        <v>247.4</v>
      </c>
      <c r="J666" s="14"/>
      <c r="K666" s="250"/>
    </row>
    <row r="667" spans="1:12" ht="15" x14ac:dyDescent="0.25">
      <c r="A667" s="372" t="s">
        <v>81</v>
      </c>
      <c r="B667" s="258" t="s">
        <v>82</v>
      </c>
      <c r="C667" s="272" t="s">
        <v>405</v>
      </c>
      <c r="D667" s="248" t="s">
        <v>452</v>
      </c>
      <c r="E667" s="222">
        <v>2015</v>
      </c>
      <c r="F667" s="157">
        <f t="shared" ref="F667:F672" si="130">SUM(G667:I667)</f>
        <v>50</v>
      </c>
      <c r="G667" s="7"/>
      <c r="H667" s="7"/>
      <c r="I667" s="7">
        <v>50</v>
      </c>
      <c r="J667" s="14"/>
      <c r="K667" s="248" t="s">
        <v>159</v>
      </c>
    </row>
    <row r="668" spans="1:12" ht="15" x14ac:dyDescent="0.25">
      <c r="A668" s="373"/>
      <c r="B668" s="283"/>
      <c r="C668" s="284"/>
      <c r="D668" s="261"/>
      <c r="E668" s="222">
        <v>2016</v>
      </c>
      <c r="F668" s="157">
        <f t="shared" si="130"/>
        <v>32</v>
      </c>
      <c r="G668" s="7"/>
      <c r="H668" s="7"/>
      <c r="I668" s="7">
        <f>55-23</f>
        <v>32</v>
      </c>
      <c r="J668" s="14"/>
      <c r="K668" s="249"/>
      <c r="L668" s="99"/>
    </row>
    <row r="669" spans="1:12" ht="15" x14ac:dyDescent="0.25">
      <c r="A669" s="373"/>
      <c r="B669" s="283"/>
      <c r="C669" s="284"/>
      <c r="D669" s="261"/>
      <c r="E669" s="222">
        <v>2017</v>
      </c>
      <c r="F669" s="157">
        <f t="shared" si="130"/>
        <v>41.4</v>
      </c>
      <c r="G669" s="7"/>
      <c r="H669" s="7"/>
      <c r="I669" s="7">
        <v>41.4</v>
      </c>
      <c r="J669" s="14"/>
      <c r="K669" s="249"/>
      <c r="L669" s="99"/>
    </row>
    <row r="670" spans="1:12" ht="15" x14ac:dyDescent="0.25">
      <c r="A670" s="373"/>
      <c r="B670" s="283"/>
      <c r="C670" s="284"/>
      <c r="D670" s="261"/>
      <c r="E670" s="222">
        <v>2018</v>
      </c>
      <c r="F670" s="157">
        <f t="shared" si="130"/>
        <v>60.2</v>
      </c>
      <c r="G670" s="7"/>
      <c r="H670" s="7"/>
      <c r="I670" s="7">
        <f>65-4.8</f>
        <v>60.2</v>
      </c>
      <c r="J670" s="14"/>
      <c r="K670" s="249"/>
      <c r="L670" s="99"/>
    </row>
    <row r="671" spans="1:12" ht="15" x14ac:dyDescent="0.25">
      <c r="A671" s="373"/>
      <c r="B671" s="283"/>
      <c r="C671" s="284"/>
      <c r="D671" s="261"/>
      <c r="E671" s="222">
        <v>2019</v>
      </c>
      <c r="F671" s="157">
        <f t="shared" si="130"/>
        <v>0</v>
      </c>
      <c r="G671" s="7"/>
      <c r="H671" s="7"/>
      <c r="I671" s="7">
        <v>0</v>
      </c>
      <c r="J671" s="14"/>
      <c r="K671" s="249"/>
      <c r="L671" s="99"/>
    </row>
    <row r="672" spans="1:12" ht="15" x14ac:dyDescent="0.25">
      <c r="A672" s="373"/>
      <c r="B672" s="283"/>
      <c r="C672" s="284"/>
      <c r="D672" s="261"/>
      <c r="E672" s="222">
        <v>2020</v>
      </c>
      <c r="F672" s="157">
        <f t="shared" si="130"/>
        <v>0</v>
      </c>
      <c r="G672" s="7"/>
      <c r="H672" s="7"/>
      <c r="I672" s="7">
        <v>0</v>
      </c>
      <c r="J672" s="14"/>
      <c r="K672" s="249"/>
    </row>
    <row r="673" spans="1:13" ht="15" x14ac:dyDescent="0.25">
      <c r="A673" s="373"/>
      <c r="B673" s="283"/>
      <c r="C673" s="284"/>
      <c r="D673" s="261"/>
      <c r="E673" s="222">
        <v>2021</v>
      </c>
      <c r="F673" s="157">
        <f t="shared" ref="F673" si="131">SUM(G673:I673)</f>
        <v>0</v>
      </c>
      <c r="G673" s="7"/>
      <c r="H673" s="7"/>
      <c r="I673" s="7">
        <v>0</v>
      </c>
      <c r="J673" s="14"/>
      <c r="K673" s="249"/>
    </row>
    <row r="674" spans="1:13" ht="25.5" customHeight="1" x14ac:dyDescent="0.25">
      <c r="A674" s="373"/>
      <c r="B674" s="283"/>
      <c r="C674" s="284"/>
      <c r="D674" s="277"/>
      <c r="E674" s="18" t="s">
        <v>18</v>
      </c>
      <c r="F674" s="159">
        <f>SUM(F667:F672)</f>
        <v>183.60000000000002</v>
      </c>
      <c r="G674" s="7"/>
      <c r="H674" s="7"/>
      <c r="I674" s="8">
        <f>SUM(I667:I672)</f>
        <v>183.60000000000002</v>
      </c>
      <c r="J674" s="14"/>
      <c r="K674" s="250"/>
    </row>
    <row r="675" spans="1:13" ht="16.5" customHeight="1" thickBot="1" x14ac:dyDescent="0.25">
      <c r="A675" s="387" t="s">
        <v>186</v>
      </c>
      <c r="B675" s="380"/>
      <c r="C675" s="434"/>
      <c r="D675" s="380"/>
      <c r="E675" s="6" t="s">
        <v>395</v>
      </c>
      <c r="F675" s="146">
        <f>F651+F658+F666+F674</f>
        <v>1567.7000000000003</v>
      </c>
      <c r="G675" s="146"/>
      <c r="H675" s="146">
        <f>H651+H658+H666+H674</f>
        <v>0</v>
      </c>
      <c r="I675" s="146">
        <f>I651+I658+I666+I674</f>
        <v>1567.7000000000003</v>
      </c>
      <c r="J675" s="17"/>
      <c r="K675" s="6"/>
      <c r="L675" s="126"/>
      <c r="M675" s="127"/>
    </row>
    <row r="676" spans="1:13" ht="15" thickBot="1" x14ac:dyDescent="0.25">
      <c r="A676" s="369" t="s">
        <v>187</v>
      </c>
      <c r="B676" s="370"/>
      <c r="C676" s="370"/>
      <c r="D676" s="370"/>
      <c r="E676" s="370"/>
      <c r="F676" s="370"/>
      <c r="G676" s="370"/>
      <c r="H676" s="370"/>
      <c r="I676" s="370"/>
      <c r="J676" s="370"/>
      <c r="K676" s="371"/>
    </row>
    <row r="677" spans="1:13" ht="12.75" customHeight="1" x14ac:dyDescent="0.25">
      <c r="A677" s="374" t="s">
        <v>144</v>
      </c>
      <c r="B677" s="297" t="s">
        <v>83</v>
      </c>
      <c r="C677" s="276" t="s">
        <v>397</v>
      </c>
      <c r="D677" s="248" t="s">
        <v>449</v>
      </c>
      <c r="E677" s="222">
        <v>2015</v>
      </c>
      <c r="F677" s="157">
        <f t="shared" ref="F677:F682" si="132">SUM(G677:I677)</f>
        <v>3623.3</v>
      </c>
      <c r="G677" s="7"/>
      <c r="H677" s="7">
        <f>3817-230</f>
        <v>3587</v>
      </c>
      <c r="I677" s="7">
        <f>38.6-2.3</f>
        <v>36.300000000000004</v>
      </c>
      <c r="J677" s="14"/>
      <c r="K677" s="248" t="s">
        <v>160</v>
      </c>
    </row>
    <row r="678" spans="1:13" ht="15" x14ac:dyDescent="0.25">
      <c r="A678" s="375"/>
      <c r="B678" s="377"/>
      <c r="C678" s="261"/>
      <c r="D678" s="261"/>
      <c r="E678" s="222">
        <v>2016</v>
      </c>
      <c r="F678" s="157">
        <f t="shared" si="132"/>
        <v>27.8</v>
      </c>
      <c r="G678" s="7"/>
      <c r="H678" s="7">
        <v>0</v>
      </c>
      <c r="I678" s="7">
        <v>27.8</v>
      </c>
      <c r="J678" s="14"/>
      <c r="K678" s="249"/>
    </row>
    <row r="679" spans="1:13" ht="15" x14ac:dyDescent="0.25">
      <c r="A679" s="375"/>
      <c r="B679" s="377"/>
      <c r="C679" s="261"/>
      <c r="D679" s="261"/>
      <c r="E679" s="222">
        <v>2017</v>
      </c>
      <c r="F679" s="157">
        <f t="shared" si="132"/>
        <v>0</v>
      </c>
      <c r="G679" s="7"/>
      <c r="H679" s="7">
        <v>0</v>
      </c>
      <c r="I679" s="7">
        <v>0</v>
      </c>
      <c r="J679" s="14"/>
      <c r="K679" s="249"/>
      <c r="L679" s="99"/>
    </row>
    <row r="680" spans="1:13" ht="15" x14ac:dyDescent="0.25">
      <c r="A680" s="375"/>
      <c r="B680" s="377"/>
      <c r="C680" s="261"/>
      <c r="D680" s="261"/>
      <c r="E680" s="222">
        <v>2018</v>
      </c>
      <c r="F680" s="157">
        <f t="shared" si="132"/>
        <v>0</v>
      </c>
      <c r="G680" s="7"/>
      <c r="H680" s="7">
        <f>1605-1605</f>
        <v>0</v>
      </c>
      <c r="I680" s="7">
        <v>0</v>
      </c>
      <c r="J680" s="14"/>
      <c r="K680" s="249"/>
      <c r="L680" s="99"/>
    </row>
    <row r="681" spans="1:13" ht="15" x14ac:dyDescent="0.25">
      <c r="A681" s="375"/>
      <c r="B681" s="377"/>
      <c r="C681" s="261"/>
      <c r="D681" s="261"/>
      <c r="E681" s="222">
        <v>2019</v>
      </c>
      <c r="F681" s="157">
        <f t="shared" si="132"/>
        <v>8080.8</v>
      </c>
      <c r="G681" s="7"/>
      <c r="H681" s="7">
        <v>8000</v>
      </c>
      <c r="I681" s="7">
        <v>80.8</v>
      </c>
      <c r="J681" s="14"/>
      <c r="K681" s="249"/>
      <c r="L681" s="99"/>
    </row>
    <row r="682" spans="1:13" ht="15" x14ac:dyDescent="0.25">
      <c r="A682" s="375"/>
      <c r="B682" s="377"/>
      <c r="C682" s="261"/>
      <c r="D682" s="261"/>
      <c r="E682" s="222">
        <v>2020</v>
      </c>
      <c r="F682" s="157">
        <f t="shared" si="132"/>
        <v>2424.3000000000002</v>
      </c>
      <c r="G682" s="7"/>
      <c r="H682" s="7">
        <v>2400</v>
      </c>
      <c r="I682" s="7">
        <v>24.3</v>
      </c>
      <c r="J682" s="14"/>
      <c r="K682" s="249"/>
    </row>
    <row r="683" spans="1:13" ht="15" x14ac:dyDescent="0.25">
      <c r="A683" s="375"/>
      <c r="B683" s="377"/>
      <c r="C683" s="261"/>
      <c r="D683" s="261"/>
      <c r="E683" s="222">
        <v>2021</v>
      </c>
      <c r="F683" s="157">
        <f t="shared" ref="F683:F686" si="133">SUM(G683:I683)</f>
        <v>0</v>
      </c>
      <c r="G683" s="7"/>
      <c r="H683" s="7">
        <f>2400-2400</f>
        <v>0</v>
      </c>
      <c r="I683" s="7">
        <f>24.3-24.3</f>
        <v>0</v>
      </c>
      <c r="J683" s="14"/>
      <c r="K683" s="249"/>
      <c r="L683" s="99"/>
    </row>
    <row r="684" spans="1:13" ht="15" x14ac:dyDescent="0.25">
      <c r="A684" s="375"/>
      <c r="B684" s="377"/>
      <c r="C684" s="261"/>
      <c r="D684" s="261"/>
      <c r="E684" s="222">
        <v>2022</v>
      </c>
      <c r="F684" s="157">
        <f t="shared" si="133"/>
        <v>0</v>
      </c>
      <c r="G684" s="7"/>
      <c r="H684" s="7">
        <f>2400-2400</f>
        <v>0</v>
      </c>
      <c r="I684" s="7">
        <f>24.3-24.3</f>
        <v>0</v>
      </c>
      <c r="J684" s="14"/>
      <c r="K684" s="249"/>
      <c r="L684" s="99"/>
    </row>
    <row r="685" spans="1:13" ht="15" x14ac:dyDescent="0.25">
      <c r="A685" s="375"/>
      <c r="B685" s="377"/>
      <c r="C685" s="261"/>
      <c r="D685" s="261"/>
      <c r="E685" s="222">
        <v>2023</v>
      </c>
      <c r="F685" s="157">
        <f t="shared" si="133"/>
        <v>0</v>
      </c>
      <c r="G685" s="7"/>
      <c r="H685" s="7">
        <f>2510-2510</f>
        <v>0</v>
      </c>
      <c r="I685" s="7">
        <f>25.3-25.3</f>
        <v>0</v>
      </c>
      <c r="J685" s="14"/>
      <c r="K685" s="249"/>
      <c r="L685" s="99"/>
    </row>
    <row r="686" spans="1:13" ht="15" x14ac:dyDescent="0.25">
      <c r="A686" s="375"/>
      <c r="B686" s="377"/>
      <c r="C686" s="261"/>
      <c r="D686" s="261"/>
      <c r="E686" s="222">
        <v>2024</v>
      </c>
      <c r="F686" s="157">
        <f t="shared" si="133"/>
        <v>2637.3</v>
      </c>
      <c r="G686" s="7"/>
      <c r="H686" s="7">
        <v>2611</v>
      </c>
      <c r="I686" s="7">
        <v>26.3</v>
      </c>
      <c r="J686" s="14"/>
      <c r="K686" s="249"/>
    </row>
    <row r="687" spans="1:13" ht="15" x14ac:dyDescent="0.25">
      <c r="A687" s="375"/>
      <c r="B687" s="377"/>
      <c r="C687" s="261"/>
      <c r="D687" s="261"/>
      <c r="E687" s="222">
        <v>2025</v>
      </c>
      <c r="F687" s="157">
        <f t="shared" ref="F687" si="134">SUM(G687:I687)</f>
        <v>2758.4</v>
      </c>
      <c r="G687" s="7"/>
      <c r="H687" s="7">
        <v>2731</v>
      </c>
      <c r="I687" s="7">
        <v>27.4</v>
      </c>
      <c r="J687" s="14"/>
      <c r="K687" s="249"/>
    </row>
    <row r="688" spans="1:13" ht="15" thickBot="1" x14ac:dyDescent="0.25">
      <c r="A688" s="376"/>
      <c r="B688" s="377"/>
      <c r="C688" s="378"/>
      <c r="D688" s="277"/>
      <c r="E688" s="18" t="s">
        <v>18</v>
      </c>
      <c r="F688" s="159">
        <f>SUM(F677:F687)</f>
        <v>19551.900000000001</v>
      </c>
      <c r="G688" s="8"/>
      <c r="H688" s="8">
        <f>SUM(H677:H687)</f>
        <v>19329</v>
      </c>
      <c r="I688" s="8">
        <f>SUM(I677:I687)</f>
        <v>222.90000000000003</v>
      </c>
      <c r="J688" s="14"/>
      <c r="K688" s="250"/>
    </row>
    <row r="689" spans="1:21" ht="15.75" customHeight="1" thickBot="1" x14ac:dyDescent="0.25">
      <c r="A689" s="387" t="s">
        <v>188</v>
      </c>
      <c r="B689" s="380"/>
      <c r="C689" s="380"/>
      <c r="D689" s="380"/>
      <c r="E689" s="136" t="s">
        <v>395</v>
      </c>
      <c r="F689" s="158">
        <f>SUM(F677:F687)</f>
        <v>19551.900000000001</v>
      </c>
      <c r="G689" s="147"/>
      <c r="H689" s="8">
        <f>SUM(H677:H687)</f>
        <v>19329</v>
      </c>
      <c r="I689" s="8">
        <f>SUM(I677:I687)</f>
        <v>222.90000000000003</v>
      </c>
      <c r="J689" s="17"/>
      <c r="K689" s="6"/>
      <c r="L689" s="127"/>
      <c r="M689" s="127"/>
    </row>
    <row r="690" spans="1:21" ht="14.25" x14ac:dyDescent="0.2">
      <c r="A690" s="382" t="s">
        <v>296</v>
      </c>
      <c r="B690" s="383"/>
      <c r="C690" s="383"/>
      <c r="D690" s="383"/>
      <c r="E690" s="383"/>
      <c r="F690" s="383"/>
      <c r="G690" s="383"/>
      <c r="H690" s="383"/>
      <c r="I690" s="383"/>
      <c r="J690" s="383"/>
      <c r="K690" s="384"/>
    </row>
    <row r="691" spans="1:21" ht="12.75" customHeight="1" x14ac:dyDescent="0.25">
      <c r="A691" s="385" t="s">
        <v>146</v>
      </c>
      <c r="B691" s="297" t="s">
        <v>297</v>
      </c>
      <c r="C691" s="272" t="s">
        <v>406</v>
      </c>
      <c r="D691" s="260" t="s">
        <v>298</v>
      </c>
      <c r="E691" s="222">
        <v>2017</v>
      </c>
      <c r="F691" s="156">
        <f t="shared" ref="F691:F694" si="135">SUM(G691:I691)</f>
        <v>112768.40000000001</v>
      </c>
      <c r="G691" s="7"/>
      <c r="H691" s="7">
        <f>117683.6-4915.2</f>
        <v>112768.40000000001</v>
      </c>
      <c r="I691" s="7">
        <v>0</v>
      </c>
      <c r="J691" s="14"/>
      <c r="K691" s="431" t="s">
        <v>374</v>
      </c>
      <c r="L691" s="99" t="s">
        <v>331</v>
      </c>
    </row>
    <row r="692" spans="1:21" ht="15" x14ac:dyDescent="0.25">
      <c r="A692" s="386"/>
      <c r="B692" s="377"/>
      <c r="C692" s="284"/>
      <c r="D692" s="284"/>
      <c r="E692" s="222">
        <v>2018</v>
      </c>
      <c r="F692" s="156">
        <f t="shared" si="135"/>
        <v>111105</v>
      </c>
      <c r="G692" s="7"/>
      <c r="H692" s="7">
        <f>122021-10916</f>
        <v>111105</v>
      </c>
      <c r="I692" s="7">
        <v>0</v>
      </c>
      <c r="J692" s="14"/>
      <c r="K692" s="432"/>
    </row>
    <row r="693" spans="1:21" ht="15" x14ac:dyDescent="0.25">
      <c r="A693" s="386"/>
      <c r="B693" s="377"/>
      <c r="C693" s="284"/>
      <c r="D693" s="284"/>
      <c r="E693" s="222">
        <v>2019</v>
      </c>
      <c r="F693" s="156">
        <f t="shared" si="135"/>
        <v>115991.1</v>
      </c>
      <c r="G693" s="7"/>
      <c r="H693" s="7">
        <f>121381.5-868.2-4522.2</f>
        <v>115991.1</v>
      </c>
      <c r="I693" s="7">
        <f>27.6-27.6</f>
        <v>0</v>
      </c>
      <c r="J693" s="14"/>
      <c r="K693" s="432"/>
      <c r="L693" s="99"/>
    </row>
    <row r="694" spans="1:21" ht="15" x14ac:dyDescent="0.25">
      <c r="A694" s="386"/>
      <c r="B694" s="377"/>
      <c r="C694" s="284"/>
      <c r="D694" s="284"/>
      <c r="E694" s="222">
        <v>2020</v>
      </c>
      <c r="F694" s="156">
        <f t="shared" si="135"/>
        <v>115378.8</v>
      </c>
      <c r="G694" s="7"/>
      <c r="H694" s="7">
        <f>123400.2-6112-1909.4</f>
        <v>115378.8</v>
      </c>
      <c r="I694" s="7">
        <v>0</v>
      </c>
      <c r="J694" s="14"/>
      <c r="K694" s="432"/>
      <c r="O694" s="4" t="s">
        <v>443</v>
      </c>
      <c r="P694" s="4" t="s">
        <v>442</v>
      </c>
    </row>
    <row r="695" spans="1:21" ht="12.75" customHeight="1" x14ac:dyDescent="0.25">
      <c r="A695" s="386"/>
      <c r="B695" s="377"/>
      <c r="C695" s="284"/>
      <c r="D695" s="284"/>
      <c r="E695" s="222">
        <v>2021</v>
      </c>
      <c r="F695" s="156">
        <f t="shared" ref="F695:F698" si="136">SUM(G695:I695)</f>
        <v>104214.9</v>
      </c>
      <c r="G695" s="7"/>
      <c r="H695" s="7">
        <f>127948.9-73659.2+49925.2</f>
        <v>104214.9</v>
      </c>
      <c r="I695" s="7">
        <v>0</v>
      </c>
      <c r="J695" s="14"/>
      <c r="K695" s="432"/>
      <c r="L695" s="99" t="s">
        <v>331</v>
      </c>
      <c r="N695" s="4">
        <v>2020</v>
      </c>
      <c r="O695" s="107">
        <f>H694+H682+H602</f>
        <v>118719.3</v>
      </c>
      <c r="P695" s="107">
        <f>I682+I672+I664+I657+I645+I634+I625+I613+I602+I593+I575+I548</f>
        <v>93546.7</v>
      </c>
    </row>
    <row r="696" spans="1:21" ht="15" x14ac:dyDescent="0.25">
      <c r="A696" s="386"/>
      <c r="B696" s="377"/>
      <c r="C696" s="284"/>
      <c r="D696" s="284"/>
      <c r="E696" s="222">
        <v>2022</v>
      </c>
      <c r="F696" s="156">
        <f t="shared" si="136"/>
        <v>94568.799999999988</v>
      </c>
      <c r="G696" s="7"/>
      <c r="H696" s="7">
        <f>134412.9-75130.3+35286.2</f>
        <v>94568.799999999988</v>
      </c>
      <c r="I696" s="7">
        <v>0</v>
      </c>
      <c r="J696" s="14"/>
      <c r="K696" s="432"/>
    </row>
    <row r="697" spans="1:21" ht="15" x14ac:dyDescent="0.25">
      <c r="A697" s="386"/>
      <c r="B697" s="377"/>
      <c r="C697" s="284"/>
      <c r="D697" s="284"/>
      <c r="E697" s="222">
        <v>2023</v>
      </c>
      <c r="F697" s="156">
        <f t="shared" si="136"/>
        <v>134292.29999999999</v>
      </c>
      <c r="G697" s="7"/>
      <c r="H697" s="7">
        <f>140595.9-6303.6</f>
        <v>134292.29999999999</v>
      </c>
      <c r="I697" s="7">
        <f>27.6-27.6</f>
        <v>0</v>
      </c>
      <c r="J697" s="14"/>
      <c r="K697" s="432"/>
      <c r="L697" s="99"/>
    </row>
    <row r="698" spans="1:21" ht="15" x14ac:dyDescent="0.25">
      <c r="A698" s="386"/>
      <c r="B698" s="377"/>
      <c r="C698" s="284"/>
      <c r="D698" s="284"/>
      <c r="E698" s="222">
        <v>2024</v>
      </c>
      <c r="F698" s="156">
        <f t="shared" si="136"/>
        <v>147063.29999999999</v>
      </c>
      <c r="G698" s="7"/>
      <c r="H698" s="7">
        <v>147063.29999999999</v>
      </c>
      <c r="I698" s="7">
        <v>0</v>
      </c>
      <c r="J698" s="14"/>
      <c r="K698" s="432"/>
    </row>
    <row r="699" spans="1:21" ht="15" x14ac:dyDescent="0.25">
      <c r="A699" s="386"/>
      <c r="B699" s="377"/>
      <c r="C699" s="284"/>
      <c r="D699" s="284"/>
      <c r="E699" s="222">
        <v>2025</v>
      </c>
      <c r="F699" s="156">
        <f t="shared" ref="F699" si="137">SUM(G699:I699)</f>
        <v>153828.20000000001</v>
      </c>
      <c r="G699" s="7"/>
      <c r="H699" s="7">
        <v>153828.20000000001</v>
      </c>
      <c r="I699" s="7">
        <v>0</v>
      </c>
      <c r="J699" s="14"/>
      <c r="K699" s="432"/>
    </row>
    <row r="700" spans="1:21" ht="14.25" x14ac:dyDescent="0.2">
      <c r="A700" s="386"/>
      <c r="B700" s="377"/>
      <c r="C700" s="284"/>
      <c r="D700" s="284"/>
      <c r="E700" s="18" t="s">
        <v>18</v>
      </c>
      <c r="F700" s="140">
        <f>SUM(F691:F699)</f>
        <v>1089210.8</v>
      </c>
      <c r="G700" s="8"/>
      <c r="H700" s="8">
        <f>SUM(H691:H699)</f>
        <v>1089210.8</v>
      </c>
      <c r="I700" s="8">
        <f>SUM(I691:I694)</f>
        <v>0</v>
      </c>
      <c r="J700" s="14"/>
      <c r="K700" s="432"/>
    </row>
    <row r="701" spans="1:21" ht="16.5" customHeight="1" thickBot="1" x14ac:dyDescent="0.25">
      <c r="A701" s="433" t="s">
        <v>207</v>
      </c>
      <c r="B701" s="434"/>
      <c r="C701" s="434"/>
      <c r="D701" s="434"/>
      <c r="E701" s="100" t="s">
        <v>396</v>
      </c>
      <c r="F701" s="181">
        <f>SUM(F691:F699)</f>
        <v>1089210.8</v>
      </c>
      <c r="G701" s="176"/>
      <c r="H701" s="154">
        <f>SUM(H691:H699)</f>
        <v>1089210.8</v>
      </c>
      <c r="I701" s="154">
        <f>SUM(I691:I694)</f>
        <v>0</v>
      </c>
      <c r="J701" s="177"/>
      <c r="K701" s="100"/>
      <c r="L701" s="126"/>
      <c r="M701" s="127"/>
    </row>
    <row r="702" spans="1:21" ht="15.75" customHeight="1" x14ac:dyDescent="0.2">
      <c r="A702" s="382" t="s">
        <v>469</v>
      </c>
      <c r="B702" s="383"/>
      <c r="C702" s="383"/>
      <c r="D702" s="383"/>
      <c r="E702" s="383"/>
      <c r="F702" s="383"/>
      <c r="G702" s="383"/>
      <c r="H702" s="383"/>
      <c r="I702" s="383"/>
      <c r="J702" s="383"/>
      <c r="K702" s="384"/>
      <c r="L702" s="237"/>
      <c r="M702" s="238"/>
      <c r="N702" s="238"/>
      <c r="O702" s="238"/>
      <c r="P702" s="238"/>
      <c r="Q702" s="238"/>
      <c r="R702" s="238"/>
      <c r="S702" s="238"/>
      <c r="T702" s="238"/>
      <c r="U702" s="238"/>
    </row>
    <row r="703" spans="1:21" ht="13.5" customHeight="1" x14ac:dyDescent="0.25">
      <c r="A703" s="566" t="s">
        <v>390</v>
      </c>
      <c r="B703" s="569" t="s">
        <v>468</v>
      </c>
      <c r="C703" s="276" t="s">
        <v>467</v>
      </c>
      <c r="D703" s="574" t="s">
        <v>449</v>
      </c>
      <c r="E703" s="228">
        <v>2021</v>
      </c>
      <c r="F703" s="156"/>
      <c r="G703" s="7"/>
      <c r="H703" s="7"/>
      <c r="I703" s="7"/>
      <c r="J703" s="14"/>
      <c r="K703" s="577" t="s">
        <v>473</v>
      </c>
      <c r="L703" s="237"/>
      <c r="M703" s="238"/>
      <c r="N703" s="238"/>
      <c r="O703" s="238"/>
      <c r="P703" s="238"/>
      <c r="Q703" s="238"/>
      <c r="R703" s="238"/>
      <c r="S703" s="238"/>
      <c r="T703" s="238"/>
      <c r="U703" s="238"/>
    </row>
    <row r="704" spans="1:21" ht="18" customHeight="1" x14ac:dyDescent="0.25">
      <c r="A704" s="567"/>
      <c r="B704" s="570"/>
      <c r="C704" s="572"/>
      <c r="D704" s="575"/>
      <c r="E704" s="228">
        <v>2022</v>
      </c>
      <c r="F704" s="156"/>
      <c r="G704" s="7"/>
      <c r="H704" s="7"/>
      <c r="I704" s="7"/>
      <c r="J704" s="14"/>
      <c r="K704" s="578"/>
      <c r="L704" s="237"/>
      <c r="M704" s="238"/>
      <c r="N704" s="238"/>
      <c r="O704" s="238"/>
      <c r="P704" s="238"/>
      <c r="Q704" s="238"/>
      <c r="R704" s="238"/>
      <c r="S704" s="238"/>
      <c r="T704" s="238"/>
      <c r="U704" s="238"/>
    </row>
    <row r="705" spans="1:35" ht="14.25" customHeight="1" x14ac:dyDescent="0.25">
      <c r="A705" s="567"/>
      <c r="B705" s="570"/>
      <c r="C705" s="572"/>
      <c r="D705" s="575"/>
      <c r="E705" s="228">
        <v>2023</v>
      </c>
      <c r="F705" s="156"/>
      <c r="G705" s="7"/>
      <c r="H705" s="7"/>
      <c r="I705" s="7"/>
      <c r="J705" s="14"/>
      <c r="K705" s="578"/>
      <c r="L705" s="558" t="s">
        <v>466</v>
      </c>
      <c r="M705" s="559"/>
      <c r="N705" s="559"/>
      <c r="O705" s="238"/>
      <c r="P705" s="238"/>
      <c r="Q705" s="238"/>
      <c r="R705" s="238"/>
      <c r="S705" s="238"/>
      <c r="T705" s="238"/>
      <c r="U705" s="238"/>
    </row>
    <row r="706" spans="1:35" ht="15" customHeight="1" x14ac:dyDescent="0.25">
      <c r="A706" s="567"/>
      <c r="B706" s="570"/>
      <c r="C706" s="572"/>
      <c r="D706" s="575"/>
      <c r="E706" s="228">
        <v>2024</v>
      </c>
      <c r="F706" s="156"/>
      <c r="G706" s="7"/>
      <c r="H706" s="7"/>
      <c r="I706" s="7"/>
      <c r="J706" s="14"/>
      <c r="K706" s="578"/>
      <c r="L706" s="237"/>
      <c r="M706" s="238"/>
      <c r="N706" s="238"/>
      <c r="O706" s="238"/>
      <c r="P706" s="238"/>
      <c r="Q706" s="238"/>
      <c r="R706" s="238"/>
      <c r="S706" s="238"/>
      <c r="T706" s="238"/>
      <c r="U706" s="238"/>
    </row>
    <row r="707" spans="1:35" ht="14.25" customHeight="1" x14ac:dyDescent="0.25">
      <c r="A707" s="567"/>
      <c r="B707" s="570"/>
      <c r="C707" s="572"/>
      <c r="D707" s="575"/>
      <c r="E707" s="228">
        <v>2025</v>
      </c>
      <c r="F707" s="156"/>
      <c r="G707" s="7"/>
      <c r="H707" s="7"/>
      <c r="I707" s="7"/>
      <c r="J707" s="14"/>
      <c r="K707" s="578"/>
      <c r="L707" s="237"/>
      <c r="M707" s="238"/>
      <c r="N707" s="238"/>
      <c r="O707" s="238"/>
      <c r="P707" s="238"/>
      <c r="Q707" s="238"/>
      <c r="R707" s="238"/>
      <c r="S707" s="238"/>
      <c r="T707" s="238"/>
      <c r="U707" s="238"/>
    </row>
    <row r="708" spans="1:35" ht="17.25" customHeight="1" x14ac:dyDescent="0.2">
      <c r="A708" s="568"/>
      <c r="B708" s="571"/>
      <c r="C708" s="573"/>
      <c r="D708" s="576"/>
      <c r="E708" s="18" t="s">
        <v>18</v>
      </c>
      <c r="F708" s="140">
        <f>SUM(F703:F707)</f>
        <v>0</v>
      </c>
      <c r="G708" s="8"/>
      <c r="H708" s="140">
        <f t="shared" ref="H708:I708" si="138">SUM(H706)</f>
        <v>0</v>
      </c>
      <c r="I708" s="140">
        <f t="shared" si="138"/>
        <v>0</v>
      </c>
      <c r="J708" s="14"/>
      <c r="K708" s="579"/>
      <c r="L708" s="237"/>
      <c r="M708" s="239" t="s">
        <v>321</v>
      </c>
      <c r="N708" s="240" t="s">
        <v>322</v>
      </c>
      <c r="O708" s="4">
        <v>2021</v>
      </c>
      <c r="P708" s="239" t="s">
        <v>321</v>
      </c>
      <c r="Q708" s="240" t="s">
        <v>322</v>
      </c>
      <c r="R708" s="4">
        <v>2022</v>
      </c>
      <c r="S708" s="239" t="s">
        <v>321</v>
      </c>
      <c r="T708" s="240" t="s">
        <v>322</v>
      </c>
      <c r="U708" s="4">
        <v>2023</v>
      </c>
    </row>
    <row r="709" spans="1:35" ht="15.75" customHeight="1" thickBot="1" x14ac:dyDescent="0.25">
      <c r="A709" s="560" t="s">
        <v>421</v>
      </c>
      <c r="B709" s="561"/>
      <c r="C709" s="561"/>
      <c r="D709" s="561"/>
      <c r="E709" s="241" t="s">
        <v>467</v>
      </c>
      <c r="F709" s="242">
        <f>F708</f>
        <v>0</v>
      </c>
      <c r="G709" s="242">
        <f t="shared" ref="G709:I709" si="139">G708</f>
        <v>0</v>
      </c>
      <c r="H709" s="242">
        <f t="shared" si="139"/>
        <v>0</v>
      </c>
      <c r="I709" s="242">
        <f t="shared" si="139"/>
        <v>0</v>
      </c>
      <c r="J709" s="243"/>
      <c r="K709" s="244"/>
      <c r="L709" s="237"/>
      <c r="M709" s="245">
        <f>H703</f>
        <v>0</v>
      </c>
      <c r="N709" s="245">
        <f>I703</f>
        <v>0</v>
      </c>
      <c r="O709" s="246">
        <f>M709+N709</f>
        <v>0</v>
      </c>
      <c r="P709" s="245">
        <f>H704</f>
        <v>0</v>
      </c>
      <c r="Q709" s="245">
        <f>I704</f>
        <v>0</v>
      </c>
      <c r="R709" s="246">
        <f>P709+Q709</f>
        <v>0</v>
      </c>
      <c r="S709" s="245">
        <f>H705</f>
        <v>0</v>
      </c>
      <c r="T709" s="245">
        <f>I705</f>
        <v>0</v>
      </c>
      <c r="U709" s="246">
        <f>S709+T709</f>
        <v>0</v>
      </c>
    </row>
    <row r="710" spans="1:35" ht="48" customHeight="1" thickBot="1" x14ac:dyDescent="0.3">
      <c r="A710" s="543" t="s">
        <v>190</v>
      </c>
      <c r="B710" s="544"/>
      <c r="C710" s="544"/>
      <c r="D710" s="545"/>
      <c r="E710" s="182" t="s">
        <v>395</v>
      </c>
      <c r="F710" s="182" t="s">
        <v>18</v>
      </c>
      <c r="G710" s="183" t="s">
        <v>10</v>
      </c>
      <c r="H710" s="184" t="s">
        <v>11</v>
      </c>
      <c r="I710" s="184" t="s">
        <v>12</v>
      </c>
      <c r="J710" s="184" t="s">
        <v>13</v>
      </c>
      <c r="K710" s="185"/>
      <c r="L710" s="131"/>
      <c r="M710" s="132"/>
      <c r="N710" s="68"/>
    </row>
    <row r="711" spans="1:35" ht="16.5" thickBot="1" x14ac:dyDescent="0.3">
      <c r="A711" s="546"/>
      <c r="B711" s="547"/>
      <c r="C711" s="547"/>
      <c r="D711" s="548"/>
      <c r="E711" s="178"/>
      <c r="F711" s="149">
        <f>SUM(G711:J711)</f>
        <v>1898552.6999999997</v>
      </c>
      <c r="G711" s="179"/>
      <c r="H711" s="180">
        <f>H689+H675+H637+H605+H540+H701+H709</f>
        <v>1109845</v>
      </c>
      <c r="I711" s="180">
        <f>I689+I675+I637+I605+I540+I701+I709</f>
        <v>788707.69999999984</v>
      </c>
      <c r="J711" s="180">
        <f>J689+J675+J637+J605+J540+J701</f>
        <v>0</v>
      </c>
      <c r="K711" s="103"/>
      <c r="L711" s="36"/>
      <c r="M711" s="36"/>
      <c r="N711" s="36"/>
    </row>
    <row r="712" spans="1:35" ht="18.75" customHeight="1" thickBot="1" x14ac:dyDescent="0.25">
      <c r="A712" s="551" t="s">
        <v>191</v>
      </c>
      <c r="B712" s="552"/>
      <c r="C712" s="552"/>
      <c r="D712" s="552"/>
      <c r="E712" s="552"/>
      <c r="F712" s="552"/>
      <c r="G712" s="552"/>
      <c r="H712" s="552"/>
      <c r="I712" s="552"/>
      <c r="J712" s="552"/>
      <c r="K712" s="553"/>
      <c r="L712" s="69"/>
      <c r="M712" s="69"/>
      <c r="N712" s="69"/>
    </row>
    <row r="713" spans="1:35" ht="30" customHeight="1" x14ac:dyDescent="0.2">
      <c r="A713" s="287" t="s">
        <v>192</v>
      </c>
      <c r="B713" s="289"/>
      <c r="C713" s="289"/>
      <c r="D713" s="289"/>
      <c r="E713" s="283"/>
      <c r="F713" s="283"/>
      <c r="G713" s="283"/>
      <c r="H713" s="283"/>
      <c r="I713" s="283"/>
      <c r="J713" s="283"/>
      <c r="K713" s="283"/>
      <c r="L713" s="70"/>
      <c r="M713" s="70"/>
      <c r="N713" s="70"/>
      <c r="O713" s="70"/>
      <c r="P713" s="70"/>
      <c r="Q713" s="70"/>
      <c r="R713" s="70"/>
      <c r="S713" s="70"/>
      <c r="T713" s="70"/>
      <c r="U713" s="70"/>
      <c r="V713" s="70"/>
      <c r="W713" s="70"/>
      <c r="X713" s="70"/>
      <c r="Y713" s="70"/>
      <c r="Z713" s="70"/>
      <c r="AA713" s="70"/>
      <c r="AB713" s="70"/>
      <c r="AC713" s="70"/>
      <c r="AD713" s="70"/>
      <c r="AE713" s="70"/>
      <c r="AF713" s="70"/>
      <c r="AG713" s="70"/>
      <c r="AH713" s="70"/>
      <c r="AI713" s="71"/>
    </row>
    <row r="714" spans="1:35" ht="15" x14ac:dyDescent="0.25">
      <c r="A714" s="285" t="s">
        <v>100</v>
      </c>
      <c r="B714" s="381" t="s">
        <v>84</v>
      </c>
      <c r="C714" s="276" t="s">
        <v>397</v>
      </c>
      <c r="D714" s="248" t="s">
        <v>449</v>
      </c>
      <c r="E714" s="222">
        <v>2015</v>
      </c>
      <c r="F714" s="157">
        <f t="shared" ref="F714:F719" si="140">SUM(G714:J714)</f>
        <v>1923.3999999999999</v>
      </c>
      <c r="G714" s="7"/>
      <c r="H714" s="7">
        <f>2020.6-97.2</f>
        <v>1923.3999999999999</v>
      </c>
      <c r="I714" s="14"/>
      <c r="J714" s="14"/>
      <c r="K714" s="248" t="s">
        <v>161</v>
      </c>
    </row>
    <row r="715" spans="1:35" ht="15" x14ac:dyDescent="0.25">
      <c r="A715" s="286"/>
      <c r="B715" s="340"/>
      <c r="C715" s="261"/>
      <c r="D715" s="261"/>
      <c r="E715" s="222">
        <v>2016</v>
      </c>
      <c r="F715" s="157">
        <f t="shared" si="140"/>
        <v>2072.6</v>
      </c>
      <c r="G715" s="7"/>
      <c r="H715" s="7">
        <f>2072.6</f>
        <v>2072.6</v>
      </c>
      <c r="I715" s="14"/>
      <c r="J715" s="14"/>
      <c r="K715" s="249"/>
      <c r="L715" s="99"/>
    </row>
    <row r="716" spans="1:35" ht="15" x14ac:dyDescent="0.25">
      <c r="A716" s="286"/>
      <c r="B716" s="340"/>
      <c r="C716" s="261"/>
      <c r="D716" s="261"/>
      <c r="E716" s="222">
        <v>2017</v>
      </c>
      <c r="F716" s="157">
        <f t="shared" si="140"/>
        <v>1468.9</v>
      </c>
      <c r="G716" s="7"/>
      <c r="H716" s="7">
        <f>1919.7-116.3-334.5</f>
        <v>1468.9</v>
      </c>
      <c r="I716" s="14"/>
      <c r="J716" s="14"/>
      <c r="K716" s="249"/>
      <c r="L716" s="99" t="s">
        <v>326</v>
      </c>
      <c r="M716" s="106"/>
    </row>
    <row r="717" spans="1:35" ht="15" x14ac:dyDescent="0.25">
      <c r="A717" s="286"/>
      <c r="B717" s="340"/>
      <c r="C717" s="261"/>
      <c r="D717" s="261"/>
      <c r="E717" s="222">
        <v>2018</v>
      </c>
      <c r="F717" s="157">
        <f t="shared" si="140"/>
        <v>1163.5999999999999</v>
      </c>
      <c r="G717" s="7"/>
      <c r="H717" s="7">
        <f>1342.6-179</f>
        <v>1163.5999999999999</v>
      </c>
      <c r="I717" s="14"/>
      <c r="J717" s="14"/>
      <c r="K717" s="249"/>
      <c r="L717" s="99"/>
      <c r="M717" s="106"/>
    </row>
    <row r="718" spans="1:35" ht="15" x14ac:dyDescent="0.25">
      <c r="A718" s="286"/>
      <c r="B718" s="340"/>
      <c r="C718" s="261"/>
      <c r="D718" s="261"/>
      <c r="E718" s="222">
        <v>2019</v>
      </c>
      <c r="F718" s="157">
        <f t="shared" si="140"/>
        <v>872.7</v>
      </c>
      <c r="G718" s="7"/>
      <c r="H718" s="7">
        <f>1221.7-349</f>
        <v>872.7</v>
      </c>
      <c r="I718" s="14"/>
      <c r="J718" s="14"/>
      <c r="K718" s="249"/>
      <c r="L718" s="99"/>
      <c r="M718" s="106"/>
    </row>
    <row r="719" spans="1:35" ht="15" x14ac:dyDescent="0.25">
      <c r="A719" s="286"/>
      <c r="B719" s="340"/>
      <c r="C719" s="261"/>
      <c r="D719" s="261"/>
      <c r="E719" s="222">
        <v>2020</v>
      </c>
      <c r="F719" s="157">
        <f t="shared" si="140"/>
        <v>872.7</v>
      </c>
      <c r="G719" s="7"/>
      <c r="H719" s="7">
        <f>1221.7-349</f>
        <v>872.7</v>
      </c>
      <c r="I719" s="14"/>
      <c r="J719" s="14"/>
      <c r="K719" s="249"/>
    </row>
    <row r="720" spans="1:35" ht="15" x14ac:dyDescent="0.25">
      <c r="A720" s="286"/>
      <c r="B720" s="340"/>
      <c r="C720" s="261"/>
      <c r="D720" s="261"/>
      <c r="E720" s="222">
        <v>2021</v>
      </c>
      <c r="F720" s="157">
        <f t="shared" ref="F720:F724" si="141">SUM(G720:J720)</f>
        <v>872.7</v>
      </c>
      <c r="G720" s="7"/>
      <c r="H720" s="7">
        <f>1221.7-349</f>
        <v>872.7</v>
      </c>
      <c r="I720" s="14"/>
      <c r="J720" s="14"/>
      <c r="K720" s="249"/>
      <c r="L720" s="99"/>
    </row>
    <row r="721" spans="1:13" ht="15" x14ac:dyDescent="0.25">
      <c r="A721" s="286"/>
      <c r="B721" s="340"/>
      <c r="C721" s="261"/>
      <c r="D721" s="261"/>
      <c r="E721" s="222">
        <v>2022</v>
      </c>
      <c r="F721" s="157">
        <f t="shared" si="141"/>
        <v>872.7</v>
      </c>
      <c r="G721" s="7"/>
      <c r="H721" s="7">
        <f>1300-427.3</f>
        <v>872.7</v>
      </c>
      <c r="I721" s="14"/>
      <c r="J721" s="14"/>
      <c r="K721" s="249"/>
      <c r="L721" s="99" t="s">
        <v>326</v>
      </c>
      <c r="M721" s="106"/>
    </row>
    <row r="722" spans="1:13" ht="15" x14ac:dyDescent="0.25">
      <c r="A722" s="286"/>
      <c r="B722" s="340"/>
      <c r="C722" s="261"/>
      <c r="D722" s="261"/>
      <c r="E722" s="222">
        <v>2023</v>
      </c>
      <c r="F722" s="157">
        <f t="shared" si="141"/>
        <v>872.7</v>
      </c>
      <c r="G722" s="7"/>
      <c r="H722" s="7">
        <f>1360-487.3</f>
        <v>872.7</v>
      </c>
      <c r="I722" s="14"/>
      <c r="J722" s="14"/>
      <c r="K722" s="249"/>
      <c r="L722" s="99"/>
      <c r="M722" s="106"/>
    </row>
    <row r="723" spans="1:13" ht="15" x14ac:dyDescent="0.25">
      <c r="A723" s="286"/>
      <c r="B723" s="340"/>
      <c r="C723" s="261"/>
      <c r="D723" s="261"/>
      <c r="E723" s="222">
        <v>2024</v>
      </c>
      <c r="F723" s="157">
        <f t="shared" si="141"/>
        <v>1423</v>
      </c>
      <c r="G723" s="7"/>
      <c r="H723" s="7">
        <v>1423</v>
      </c>
      <c r="I723" s="14"/>
      <c r="J723" s="14"/>
      <c r="K723" s="249"/>
      <c r="L723" s="99"/>
      <c r="M723" s="106"/>
    </row>
    <row r="724" spans="1:13" ht="15" x14ac:dyDescent="0.25">
      <c r="A724" s="286"/>
      <c r="B724" s="340"/>
      <c r="C724" s="261"/>
      <c r="D724" s="261"/>
      <c r="E724" s="222">
        <v>2025</v>
      </c>
      <c r="F724" s="157">
        <f t="shared" si="141"/>
        <v>1488</v>
      </c>
      <c r="G724" s="7"/>
      <c r="H724" s="7">
        <v>1488</v>
      </c>
      <c r="I724" s="14"/>
      <c r="J724" s="14"/>
      <c r="K724" s="249"/>
    </row>
    <row r="725" spans="1:13" ht="18.75" customHeight="1" x14ac:dyDescent="0.2">
      <c r="A725" s="286"/>
      <c r="B725" s="340"/>
      <c r="C725" s="277"/>
      <c r="D725" s="277"/>
      <c r="E725" s="18" t="s">
        <v>18</v>
      </c>
      <c r="F725" s="158">
        <f>SUM(F714:F724)</f>
        <v>13903.000000000002</v>
      </c>
      <c r="G725" s="8"/>
      <c r="H725" s="8">
        <f>SUM(H714:H724)</f>
        <v>13903.000000000002</v>
      </c>
      <c r="I725" s="14"/>
      <c r="J725" s="14"/>
      <c r="K725" s="249"/>
    </row>
    <row r="726" spans="1:13" ht="15" x14ac:dyDescent="0.25">
      <c r="A726" s="285" t="s">
        <v>102</v>
      </c>
      <c r="B726" s="297" t="s">
        <v>85</v>
      </c>
      <c r="C726" s="276" t="s">
        <v>397</v>
      </c>
      <c r="D726" s="248" t="s">
        <v>449</v>
      </c>
      <c r="E726" s="222">
        <v>2015</v>
      </c>
      <c r="F726" s="157">
        <f t="shared" ref="F726:F731" si="142">SUM(G726:J726)</f>
        <v>759.90000000000009</v>
      </c>
      <c r="G726" s="7"/>
      <c r="H726" s="7">
        <f>783-27.3+4.2</f>
        <v>759.90000000000009</v>
      </c>
      <c r="I726" s="7"/>
      <c r="J726" s="14"/>
      <c r="K726" s="249"/>
    </row>
    <row r="727" spans="1:13" ht="15" x14ac:dyDescent="0.25">
      <c r="A727" s="286"/>
      <c r="B727" s="379"/>
      <c r="C727" s="261"/>
      <c r="D727" s="261"/>
      <c r="E727" s="222">
        <v>2016</v>
      </c>
      <c r="F727" s="157">
        <f t="shared" si="142"/>
        <v>753.4</v>
      </c>
      <c r="G727" s="7"/>
      <c r="H727" s="7">
        <f>753.4</f>
        <v>753.4</v>
      </c>
      <c r="I727" s="7"/>
      <c r="J727" s="14"/>
      <c r="K727" s="249"/>
      <c r="L727" s="99"/>
    </row>
    <row r="728" spans="1:13" ht="15" x14ac:dyDescent="0.25">
      <c r="A728" s="286"/>
      <c r="B728" s="379"/>
      <c r="C728" s="261"/>
      <c r="D728" s="261"/>
      <c r="E728" s="222">
        <v>2017</v>
      </c>
      <c r="F728" s="157">
        <f t="shared" si="142"/>
        <v>425.09999999999997</v>
      </c>
      <c r="G728" s="7"/>
      <c r="H728" s="7">
        <f>671.9-162.8-84</f>
        <v>425.09999999999997</v>
      </c>
      <c r="I728" s="7"/>
      <c r="J728" s="14"/>
      <c r="K728" s="249"/>
      <c r="L728" s="118" t="s">
        <v>327</v>
      </c>
      <c r="M728" s="106"/>
    </row>
    <row r="729" spans="1:13" ht="15" x14ac:dyDescent="0.25">
      <c r="A729" s="286"/>
      <c r="B729" s="379"/>
      <c r="C729" s="261"/>
      <c r="D729" s="261"/>
      <c r="E729" s="222">
        <v>2018</v>
      </c>
      <c r="F729" s="157">
        <f t="shared" si="142"/>
        <v>381.2</v>
      </c>
      <c r="G729" s="7"/>
      <c r="H729" s="7">
        <f>476.5-95.3</f>
        <v>381.2</v>
      </c>
      <c r="I729" s="7"/>
      <c r="J729" s="14"/>
      <c r="K729" s="249"/>
      <c r="L729" s="99"/>
      <c r="M729" s="106"/>
    </row>
    <row r="730" spans="1:13" ht="15" x14ac:dyDescent="0.25">
      <c r="A730" s="286"/>
      <c r="B730" s="379"/>
      <c r="C730" s="261"/>
      <c r="D730" s="261"/>
      <c r="E730" s="222">
        <v>2019</v>
      </c>
      <c r="F730" s="157">
        <f t="shared" si="142"/>
        <v>397.6</v>
      </c>
      <c r="G730" s="7"/>
      <c r="H730" s="7">
        <v>397.6</v>
      </c>
      <c r="I730" s="7"/>
      <c r="J730" s="14"/>
      <c r="K730" s="249"/>
      <c r="L730" s="99"/>
      <c r="M730" s="106"/>
    </row>
    <row r="731" spans="1:13" ht="15" x14ac:dyDescent="0.25">
      <c r="A731" s="286"/>
      <c r="B731" s="379"/>
      <c r="C731" s="261"/>
      <c r="D731" s="261"/>
      <c r="E731" s="222">
        <v>2020</v>
      </c>
      <c r="F731" s="157">
        <f t="shared" si="142"/>
        <v>364</v>
      </c>
      <c r="G731" s="7"/>
      <c r="H731" s="7">
        <f>411.5-2-45.5</f>
        <v>364</v>
      </c>
      <c r="I731" s="7"/>
      <c r="J731" s="14"/>
      <c r="K731" s="249"/>
    </row>
    <row r="732" spans="1:13" ht="15" x14ac:dyDescent="0.25">
      <c r="A732" s="286"/>
      <c r="B732" s="380"/>
      <c r="C732" s="261"/>
      <c r="D732" s="261"/>
      <c r="E732" s="222">
        <v>2021</v>
      </c>
      <c r="F732" s="157">
        <f t="shared" ref="F732:F736" si="143">SUM(G732:J732)</f>
        <v>389.2</v>
      </c>
      <c r="G732" s="7"/>
      <c r="H732" s="7">
        <f>429.2-3.4-36.6</f>
        <v>389.2</v>
      </c>
      <c r="I732" s="7"/>
      <c r="J732" s="14"/>
      <c r="K732" s="249"/>
    </row>
    <row r="733" spans="1:13" ht="15" x14ac:dyDescent="0.25">
      <c r="A733" s="286"/>
      <c r="B733" s="380"/>
      <c r="C733" s="261"/>
      <c r="D733" s="261"/>
      <c r="E733" s="222">
        <v>2022</v>
      </c>
      <c r="F733" s="157">
        <f t="shared" si="143"/>
        <v>404.9</v>
      </c>
      <c r="G733" s="7"/>
      <c r="H733" s="7">
        <f>500-57.1-38</f>
        <v>404.9</v>
      </c>
      <c r="I733" s="7"/>
      <c r="J733" s="14"/>
      <c r="K733" s="249"/>
      <c r="L733" s="99"/>
    </row>
    <row r="734" spans="1:13" ht="15" x14ac:dyDescent="0.25">
      <c r="A734" s="286"/>
      <c r="B734" s="380"/>
      <c r="C734" s="261"/>
      <c r="D734" s="261"/>
      <c r="E734" s="222">
        <v>2023</v>
      </c>
      <c r="F734" s="157">
        <f t="shared" si="143"/>
        <v>421</v>
      </c>
      <c r="G734" s="7"/>
      <c r="H734" s="7">
        <f>523-102</f>
        <v>421</v>
      </c>
      <c r="I734" s="7"/>
      <c r="J734" s="14"/>
      <c r="K734" s="249"/>
      <c r="L734" s="118" t="s">
        <v>327</v>
      </c>
      <c r="M734" s="106"/>
    </row>
    <row r="735" spans="1:13" ht="15" x14ac:dyDescent="0.25">
      <c r="A735" s="286"/>
      <c r="B735" s="380"/>
      <c r="C735" s="261"/>
      <c r="D735" s="261"/>
      <c r="E735" s="222">
        <v>2024</v>
      </c>
      <c r="F735" s="157">
        <f t="shared" si="143"/>
        <v>547</v>
      </c>
      <c r="G735" s="7"/>
      <c r="H735" s="7">
        <v>547</v>
      </c>
      <c r="I735" s="7"/>
      <c r="J735" s="14"/>
      <c r="K735" s="249"/>
      <c r="L735" s="99"/>
      <c r="M735" s="106"/>
    </row>
    <row r="736" spans="1:13" ht="15" x14ac:dyDescent="0.25">
      <c r="A736" s="286"/>
      <c r="B736" s="380"/>
      <c r="C736" s="261"/>
      <c r="D736" s="261"/>
      <c r="E736" s="222">
        <v>2025</v>
      </c>
      <c r="F736" s="157">
        <f t="shared" si="143"/>
        <v>572</v>
      </c>
      <c r="G736" s="7"/>
      <c r="H736" s="7">
        <v>572</v>
      </c>
      <c r="I736" s="7"/>
      <c r="J736" s="14"/>
      <c r="K736" s="249"/>
      <c r="L736" s="99"/>
      <c r="M736" s="106"/>
    </row>
    <row r="737" spans="1:19" ht="14.25" x14ac:dyDescent="0.2">
      <c r="A737" s="286"/>
      <c r="B737" s="380"/>
      <c r="C737" s="261"/>
      <c r="D737" s="277"/>
      <c r="E737" s="18" t="s">
        <v>18</v>
      </c>
      <c r="F737" s="159">
        <f>SUM(F726:F736)</f>
        <v>5415.2999999999993</v>
      </c>
      <c r="G737" s="8"/>
      <c r="H737" s="8">
        <f>SUM(H726:H736)</f>
        <v>5415.2999999999993</v>
      </c>
      <c r="I737" s="8"/>
      <c r="J737" s="13"/>
      <c r="K737" s="249"/>
    </row>
    <row r="738" spans="1:19" ht="15" x14ac:dyDescent="0.25">
      <c r="A738" s="285" t="s">
        <v>104</v>
      </c>
      <c r="B738" s="297" t="s">
        <v>86</v>
      </c>
      <c r="C738" s="276" t="s">
        <v>405</v>
      </c>
      <c r="D738" s="248" t="s">
        <v>449</v>
      </c>
      <c r="E738" s="222">
        <v>2015</v>
      </c>
      <c r="F738" s="157">
        <f t="shared" ref="F738:F743" si="144">SUM(G738:J738)</f>
        <v>285</v>
      </c>
      <c r="G738" s="7"/>
      <c r="H738" s="7"/>
      <c r="I738" s="7">
        <v>285</v>
      </c>
      <c r="J738" s="14"/>
      <c r="K738" s="249"/>
    </row>
    <row r="739" spans="1:19" ht="15" x14ac:dyDescent="0.25">
      <c r="A739" s="286"/>
      <c r="B739" s="379"/>
      <c r="C739" s="261"/>
      <c r="D739" s="261"/>
      <c r="E739" s="222">
        <v>2016</v>
      </c>
      <c r="F739" s="157">
        <f t="shared" si="144"/>
        <v>229.59999999999997</v>
      </c>
      <c r="G739" s="7"/>
      <c r="H739" s="7"/>
      <c r="I739" s="7">
        <f>281.4-51.8</f>
        <v>229.59999999999997</v>
      </c>
      <c r="J739" s="14"/>
      <c r="K739" s="249"/>
      <c r="L739" s="99"/>
    </row>
    <row r="740" spans="1:19" ht="15" x14ac:dyDescent="0.25">
      <c r="A740" s="286"/>
      <c r="B740" s="379"/>
      <c r="C740" s="261"/>
      <c r="D740" s="261"/>
      <c r="E740" s="222">
        <v>2017</v>
      </c>
      <c r="F740" s="157">
        <f t="shared" si="144"/>
        <v>225.6</v>
      </c>
      <c r="G740" s="7"/>
      <c r="H740" s="7"/>
      <c r="I740" s="7">
        <v>225.6</v>
      </c>
      <c r="J740" s="14"/>
      <c r="K740" s="249"/>
      <c r="L740" s="99"/>
    </row>
    <row r="741" spans="1:19" ht="15" x14ac:dyDescent="0.25">
      <c r="A741" s="286"/>
      <c r="B741" s="379"/>
      <c r="C741" s="261"/>
      <c r="D741" s="261"/>
      <c r="E741" s="222">
        <v>2018</v>
      </c>
      <c r="F741" s="157">
        <f t="shared" si="144"/>
        <v>220.6</v>
      </c>
      <c r="G741" s="7"/>
      <c r="H741" s="7"/>
      <c r="I741" s="7">
        <v>220.6</v>
      </c>
      <c r="J741" s="14"/>
      <c r="K741" s="249"/>
      <c r="L741" s="99"/>
    </row>
    <row r="742" spans="1:19" ht="15" x14ac:dyDescent="0.25">
      <c r="A742" s="286"/>
      <c r="B742" s="379"/>
      <c r="C742" s="261"/>
      <c r="D742" s="261"/>
      <c r="E742" s="222">
        <v>2019</v>
      </c>
      <c r="F742" s="157">
        <f t="shared" si="144"/>
        <v>197.3</v>
      </c>
      <c r="G742" s="7"/>
      <c r="H742" s="7"/>
      <c r="I742" s="7">
        <f>215.1-17.7-0.1</f>
        <v>197.3</v>
      </c>
      <c r="J742" s="14"/>
      <c r="K742" s="249"/>
    </row>
    <row r="743" spans="1:19" ht="15" x14ac:dyDescent="0.25">
      <c r="A743" s="286"/>
      <c r="B743" s="379"/>
      <c r="C743" s="261"/>
      <c r="D743" s="261"/>
      <c r="E743" s="222">
        <v>2020</v>
      </c>
      <c r="F743" s="157">
        <f t="shared" si="144"/>
        <v>173.1</v>
      </c>
      <c r="G743" s="7"/>
      <c r="H743" s="7"/>
      <c r="I743" s="7">
        <v>173.1</v>
      </c>
      <c r="J743" s="14"/>
      <c r="K743" s="249"/>
    </row>
    <row r="744" spans="1:19" ht="15" x14ac:dyDescent="0.25">
      <c r="A744" s="286"/>
      <c r="B744" s="380"/>
      <c r="C744" s="261"/>
      <c r="D744" s="261"/>
      <c r="E744" s="222">
        <v>2021</v>
      </c>
      <c r="F744" s="157">
        <f t="shared" ref="F744" si="145">SUM(G744:J744)</f>
        <v>316.60000000000002</v>
      </c>
      <c r="G744" s="7"/>
      <c r="H744" s="7"/>
      <c r="I744" s="7">
        <v>316.60000000000002</v>
      </c>
      <c r="J744" s="14"/>
      <c r="K744" s="249"/>
    </row>
    <row r="745" spans="1:19" ht="60.75" customHeight="1" x14ac:dyDescent="0.2">
      <c r="A745" s="286"/>
      <c r="B745" s="380"/>
      <c r="C745" s="261"/>
      <c r="D745" s="277"/>
      <c r="E745" s="18" t="s">
        <v>18</v>
      </c>
      <c r="F745" s="158">
        <f>SUM(F738:F744)</f>
        <v>1647.7999999999997</v>
      </c>
      <c r="G745" s="8"/>
      <c r="H745" s="8"/>
      <c r="I745" s="8">
        <f>SUM(I738:I744)</f>
        <v>1647.7999999999997</v>
      </c>
      <c r="J745" s="13"/>
      <c r="K745" s="249"/>
    </row>
    <row r="746" spans="1:19" ht="12.75" customHeight="1" x14ac:dyDescent="0.25">
      <c r="A746" s="285" t="s">
        <v>105</v>
      </c>
      <c r="B746" s="258" t="s">
        <v>379</v>
      </c>
      <c r="C746" s="276" t="s">
        <v>397</v>
      </c>
      <c r="D746" s="248" t="s">
        <v>451</v>
      </c>
      <c r="E746" s="222">
        <v>2015</v>
      </c>
      <c r="F746" s="157">
        <f t="shared" ref="F746:F751" si="146">SUM(G746:I746)</f>
        <v>7143.2</v>
      </c>
      <c r="G746" s="7"/>
      <c r="H746" s="7">
        <f>7797.5+70.5-920.2-88.1</f>
        <v>6859.7</v>
      </c>
      <c r="I746" s="7">
        <v>283.5</v>
      </c>
      <c r="J746" s="14"/>
      <c r="K746" s="249"/>
    </row>
    <row r="747" spans="1:19" ht="15" x14ac:dyDescent="0.25">
      <c r="A747" s="286"/>
      <c r="B747" s="283"/>
      <c r="C747" s="261"/>
      <c r="D747" s="249"/>
      <c r="E747" s="222">
        <v>2016</v>
      </c>
      <c r="F747" s="157">
        <f t="shared" si="146"/>
        <v>6232.8</v>
      </c>
      <c r="G747" s="7"/>
      <c r="H747" s="7">
        <f>9160.9-998.2-2081</f>
        <v>6081.7</v>
      </c>
      <c r="I747" s="7">
        <f>296.8-145.7</f>
        <v>151.10000000000002</v>
      </c>
      <c r="J747" s="14"/>
      <c r="K747" s="249"/>
      <c r="L747" s="99"/>
      <c r="P747" s="99" t="s">
        <v>328</v>
      </c>
      <c r="S747" s="99" t="s">
        <v>330</v>
      </c>
    </row>
    <row r="748" spans="1:19" ht="15" x14ac:dyDescent="0.25">
      <c r="A748" s="286"/>
      <c r="B748" s="283"/>
      <c r="C748" s="261"/>
      <c r="D748" s="249"/>
      <c r="E748" s="222">
        <v>2017</v>
      </c>
      <c r="F748" s="157">
        <f t="shared" si="146"/>
        <v>6749.2000000000007</v>
      </c>
      <c r="G748" s="7"/>
      <c r="H748" s="7">
        <f>7964.8-97.5-1311.7</f>
        <v>6555.6</v>
      </c>
      <c r="I748" s="7">
        <f>225.6-32</f>
        <v>193.6</v>
      </c>
      <c r="J748" s="14"/>
      <c r="K748" s="249"/>
      <c r="L748" s="99" t="s">
        <v>360</v>
      </c>
      <c r="M748" s="106"/>
      <c r="N748" s="106"/>
      <c r="O748" s="107">
        <f>H748-S748</f>
        <v>-1311.6999999999998</v>
      </c>
      <c r="P748" s="122">
        <f>7130.3+680.4</f>
        <v>7810.7</v>
      </c>
      <c r="Q748" s="121" t="s">
        <v>329</v>
      </c>
      <c r="R748" s="112">
        <v>56.6</v>
      </c>
      <c r="S748" s="123">
        <f>P748+R748</f>
        <v>7867.3</v>
      </c>
    </row>
    <row r="749" spans="1:19" ht="15" x14ac:dyDescent="0.25">
      <c r="A749" s="286"/>
      <c r="B749" s="283"/>
      <c r="C749" s="261"/>
      <c r="D749" s="249"/>
      <c r="E749" s="222">
        <v>2018</v>
      </c>
      <c r="F749" s="157">
        <f t="shared" si="146"/>
        <v>6869.5</v>
      </c>
      <c r="G749" s="7"/>
      <c r="H749" s="7">
        <f>7889.6-1217.8</f>
        <v>6671.8</v>
      </c>
      <c r="I749" s="7">
        <f>61+211.7-75</f>
        <v>197.7</v>
      </c>
      <c r="J749" s="14"/>
      <c r="K749" s="249"/>
      <c r="L749" s="99"/>
      <c r="M749" s="106"/>
      <c r="N749" s="106"/>
    </row>
    <row r="750" spans="1:19" ht="15" x14ac:dyDescent="0.25">
      <c r="A750" s="286"/>
      <c r="B750" s="283"/>
      <c r="C750" s="261"/>
      <c r="D750" s="249"/>
      <c r="E750" s="222">
        <v>2019</v>
      </c>
      <c r="F750" s="157">
        <f t="shared" si="146"/>
        <v>7573.3</v>
      </c>
      <c r="G750" s="7"/>
      <c r="H750" s="7">
        <f>7354+196.1-249.5</f>
        <v>7300.6</v>
      </c>
      <c r="I750" s="7">
        <v>272.7</v>
      </c>
      <c r="J750" s="14"/>
      <c r="K750" s="249"/>
      <c r="M750" s="106"/>
      <c r="N750" s="106"/>
    </row>
    <row r="751" spans="1:19" ht="15" x14ac:dyDescent="0.25">
      <c r="A751" s="286"/>
      <c r="B751" s="283"/>
      <c r="C751" s="261"/>
      <c r="D751" s="249"/>
      <c r="E751" s="222">
        <v>2020</v>
      </c>
      <c r="F751" s="157">
        <f t="shared" si="146"/>
        <v>8389.6</v>
      </c>
      <c r="G751" s="7"/>
      <c r="H751" s="7">
        <f>7354-293.4+388.6+667.7</f>
        <v>8116.9000000000005</v>
      </c>
      <c r="I751" s="7">
        <v>272.7</v>
      </c>
      <c r="J751" s="14"/>
      <c r="K751" s="249"/>
    </row>
    <row r="752" spans="1:19" ht="15" x14ac:dyDescent="0.25">
      <c r="A752" s="390"/>
      <c r="B752" s="289"/>
      <c r="C752" s="261"/>
      <c r="D752" s="249"/>
      <c r="E752" s="222">
        <v>2021</v>
      </c>
      <c r="F752" s="157">
        <f t="shared" ref="F752:F756" si="147">SUM(G752:I752)</f>
        <v>8367.3000000000011</v>
      </c>
      <c r="G752" s="7"/>
      <c r="H752" s="7">
        <f>7354-293.4+1034</f>
        <v>8094.6</v>
      </c>
      <c r="I752" s="7">
        <v>272.7</v>
      </c>
      <c r="J752" s="14"/>
      <c r="K752" s="249"/>
      <c r="L752" s="99"/>
      <c r="P752" s="99" t="s">
        <v>328</v>
      </c>
      <c r="S752" s="99" t="s">
        <v>330</v>
      </c>
    </row>
    <row r="753" spans="1:35" ht="15" x14ac:dyDescent="0.25">
      <c r="A753" s="390"/>
      <c r="B753" s="289"/>
      <c r="C753" s="261"/>
      <c r="D753" s="249"/>
      <c r="E753" s="222">
        <v>2022</v>
      </c>
      <c r="F753" s="157">
        <f t="shared" si="147"/>
        <v>8367.3000000000011</v>
      </c>
      <c r="G753" s="7"/>
      <c r="H753" s="7">
        <f>8000-939.4+1034</f>
        <v>8094.6</v>
      </c>
      <c r="I753" s="7">
        <v>272.7</v>
      </c>
      <c r="J753" s="14"/>
      <c r="K753" s="249"/>
      <c r="L753" s="99" t="s">
        <v>360</v>
      </c>
      <c r="M753" s="106"/>
      <c r="N753" s="106"/>
      <c r="O753" s="107">
        <f>H753-S753</f>
        <v>227.30000000000018</v>
      </c>
      <c r="P753" s="122">
        <f>7130.3+680.4</f>
        <v>7810.7</v>
      </c>
      <c r="Q753" s="121" t="s">
        <v>329</v>
      </c>
      <c r="R753" s="112">
        <v>56.6</v>
      </c>
      <c r="S753" s="123">
        <f>P753+R753</f>
        <v>7867.3</v>
      </c>
    </row>
    <row r="754" spans="1:35" ht="15" x14ac:dyDescent="0.25">
      <c r="A754" s="390"/>
      <c r="B754" s="289"/>
      <c r="C754" s="261"/>
      <c r="D754" s="249"/>
      <c r="E754" s="222">
        <v>2023</v>
      </c>
      <c r="F754" s="157">
        <f t="shared" si="147"/>
        <v>8228.9</v>
      </c>
      <c r="G754" s="7"/>
      <c r="H754" s="7">
        <f>8368-273.4</f>
        <v>8094.6</v>
      </c>
      <c r="I754" s="7">
        <f>294.9-160.6</f>
        <v>134.29999999999998</v>
      </c>
      <c r="J754" s="14"/>
      <c r="K754" s="249"/>
      <c r="L754" s="99"/>
      <c r="M754" s="106"/>
      <c r="N754" s="106"/>
    </row>
    <row r="755" spans="1:35" ht="15" x14ac:dyDescent="0.25">
      <c r="A755" s="390"/>
      <c r="B755" s="289"/>
      <c r="C755" s="261"/>
      <c r="D755" s="249"/>
      <c r="E755" s="222">
        <v>2024</v>
      </c>
      <c r="F755" s="157">
        <f t="shared" si="147"/>
        <v>9059.7000000000007</v>
      </c>
      <c r="G755" s="7"/>
      <c r="H755" s="7">
        <v>8753</v>
      </c>
      <c r="I755" s="7">
        <v>306.7</v>
      </c>
      <c r="J755" s="14"/>
      <c r="K755" s="249"/>
      <c r="M755" s="106"/>
      <c r="N755" s="106"/>
    </row>
    <row r="756" spans="1:35" ht="15" x14ac:dyDescent="0.25">
      <c r="A756" s="390"/>
      <c r="B756" s="289"/>
      <c r="C756" s="261"/>
      <c r="D756" s="249"/>
      <c r="E756" s="222">
        <v>2025</v>
      </c>
      <c r="F756" s="157">
        <f t="shared" si="147"/>
        <v>9475</v>
      </c>
      <c r="G756" s="7"/>
      <c r="H756" s="7">
        <v>9156</v>
      </c>
      <c r="I756" s="7">
        <v>319</v>
      </c>
      <c r="J756" s="14"/>
      <c r="K756" s="249"/>
    </row>
    <row r="757" spans="1:35" ht="35.25" customHeight="1" thickBot="1" x14ac:dyDescent="0.25">
      <c r="A757" s="390"/>
      <c r="B757" s="289"/>
      <c r="C757" s="261"/>
      <c r="D757" s="249"/>
      <c r="E757" s="26" t="s">
        <v>18</v>
      </c>
      <c r="F757" s="186">
        <f>SUM(F746:F756)</f>
        <v>86455.8</v>
      </c>
      <c r="G757" s="9"/>
      <c r="H757" s="9">
        <f>SUM(H746:H756)</f>
        <v>83779.100000000006</v>
      </c>
      <c r="I757" s="9">
        <f>SUM(I746:I756)</f>
        <v>2676.7000000000003</v>
      </c>
      <c r="J757" s="22"/>
      <c r="K757" s="249"/>
    </row>
    <row r="758" spans="1:35" ht="18" customHeight="1" thickBot="1" x14ac:dyDescent="0.25">
      <c r="A758" s="391" t="s">
        <v>193</v>
      </c>
      <c r="B758" s="392"/>
      <c r="C758" s="392"/>
      <c r="D758" s="392"/>
      <c r="E758" s="93" t="s">
        <v>395</v>
      </c>
      <c r="F758" s="149">
        <f>F725+F737+F745+F757</f>
        <v>107421.90000000001</v>
      </c>
      <c r="G758" s="149">
        <f>G725+G737+G745+G757</f>
        <v>0</v>
      </c>
      <c r="H758" s="149">
        <f>H725+H737+H745+H757</f>
        <v>103097.40000000001</v>
      </c>
      <c r="I758" s="149">
        <f>I725+I737+I745+I757</f>
        <v>4324.5</v>
      </c>
      <c r="J758" s="94"/>
      <c r="K758" s="95"/>
      <c r="L758" s="126"/>
      <c r="M758" s="127"/>
    </row>
    <row r="759" spans="1:35" ht="27" customHeight="1" thickBot="1" x14ac:dyDescent="0.25">
      <c r="A759" s="369" t="s">
        <v>194</v>
      </c>
      <c r="B759" s="370"/>
      <c r="C759" s="370"/>
      <c r="D759" s="370"/>
      <c r="E759" s="370"/>
      <c r="F759" s="370"/>
      <c r="G759" s="370"/>
      <c r="H759" s="370"/>
      <c r="I759" s="370"/>
      <c r="J759" s="370"/>
      <c r="K759" s="371"/>
      <c r="L759" s="63"/>
      <c r="M759" s="63"/>
      <c r="N759" s="63"/>
      <c r="O759" s="63"/>
      <c r="P759" s="63"/>
      <c r="Q759" s="63"/>
      <c r="R759" s="63"/>
      <c r="S759" s="63"/>
      <c r="T759" s="63"/>
      <c r="U759" s="63"/>
      <c r="V759" s="63"/>
      <c r="W759" s="63"/>
      <c r="X759" s="63"/>
      <c r="Y759" s="63"/>
      <c r="Z759" s="63"/>
      <c r="AA759" s="63"/>
      <c r="AB759" s="63"/>
      <c r="AC759" s="63"/>
      <c r="AD759" s="63"/>
      <c r="AE759" s="63"/>
      <c r="AF759" s="63"/>
      <c r="AG759" s="63"/>
      <c r="AH759" s="63"/>
      <c r="AI759" s="64"/>
    </row>
    <row r="760" spans="1:35" ht="15" thickBot="1" x14ac:dyDescent="0.25">
      <c r="A760" s="369" t="s">
        <v>195</v>
      </c>
      <c r="B760" s="370"/>
      <c r="C760" s="370"/>
      <c r="D760" s="370"/>
      <c r="E760" s="370"/>
      <c r="F760" s="370"/>
      <c r="G760" s="370"/>
      <c r="H760" s="370"/>
      <c r="I760" s="370"/>
      <c r="J760" s="370"/>
      <c r="K760" s="371"/>
    </row>
    <row r="761" spans="1:35" ht="15" x14ac:dyDescent="0.25">
      <c r="A761" s="285" t="s">
        <v>64</v>
      </c>
      <c r="B761" s="258" t="s">
        <v>87</v>
      </c>
      <c r="C761" s="272" t="s">
        <v>395</v>
      </c>
      <c r="D761" s="320" t="s">
        <v>454</v>
      </c>
      <c r="E761" s="222">
        <v>2015</v>
      </c>
      <c r="F761" s="157">
        <f t="shared" ref="F761:F766" si="148">SUM(G761:I761)</f>
        <v>45</v>
      </c>
      <c r="G761" s="7"/>
      <c r="H761" s="7"/>
      <c r="I761" s="7">
        <v>45</v>
      </c>
      <c r="J761" s="14"/>
      <c r="K761" s="320" t="s">
        <v>162</v>
      </c>
    </row>
    <row r="762" spans="1:35" ht="15" x14ac:dyDescent="0.25">
      <c r="A762" s="286"/>
      <c r="B762" s="283"/>
      <c r="C762" s="284"/>
      <c r="D762" s="261"/>
      <c r="E762" s="222">
        <v>2016</v>
      </c>
      <c r="F762" s="157">
        <f t="shared" si="148"/>
        <v>47</v>
      </c>
      <c r="G762" s="7"/>
      <c r="H762" s="7"/>
      <c r="I762" s="7">
        <v>47</v>
      </c>
      <c r="J762" s="14"/>
      <c r="K762" s="249"/>
    </row>
    <row r="763" spans="1:35" ht="15" x14ac:dyDescent="0.25">
      <c r="A763" s="286"/>
      <c r="B763" s="283"/>
      <c r="C763" s="284"/>
      <c r="D763" s="261"/>
      <c r="E763" s="222">
        <v>2017</v>
      </c>
      <c r="F763" s="157">
        <f t="shared" si="148"/>
        <v>0</v>
      </c>
      <c r="G763" s="7"/>
      <c r="H763" s="7"/>
      <c r="I763" s="7">
        <f>42-42</f>
        <v>0</v>
      </c>
      <c r="J763" s="14"/>
      <c r="K763" s="249"/>
      <c r="L763" s="99"/>
    </row>
    <row r="764" spans="1:35" ht="15" x14ac:dyDescent="0.25">
      <c r="A764" s="286"/>
      <c r="B764" s="283"/>
      <c r="C764" s="284"/>
      <c r="D764" s="261"/>
      <c r="E764" s="222">
        <v>2018</v>
      </c>
      <c r="F764" s="157">
        <f t="shared" si="148"/>
        <v>60</v>
      </c>
      <c r="G764" s="7"/>
      <c r="H764" s="7"/>
      <c r="I764" s="7">
        <f>51+9</f>
        <v>60</v>
      </c>
      <c r="J764" s="14"/>
      <c r="K764" s="249"/>
      <c r="L764" s="106"/>
    </row>
    <row r="765" spans="1:35" ht="15" x14ac:dyDescent="0.25">
      <c r="A765" s="286"/>
      <c r="B765" s="283"/>
      <c r="C765" s="284"/>
      <c r="D765" s="261"/>
      <c r="E765" s="222">
        <v>2019</v>
      </c>
      <c r="F765" s="157">
        <f t="shared" si="148"/>
        <v>150</v>
      </c>
      <c r="G765" s="7"/>
      <c r="H765" s="7"/>
      <c r="I765" s="7">
        <f>135+15</f>
        <v>150</v>
      </c>
      <c r="J765" s="14"/>
      <c r="K765" s="249"/>
      <c r="L765" s="99"/>
    </row>
    <row r="766" spans="1:35" ht="15" x14ac:dyDescent="0.25">
      <c r="A766" s="286"/>
      <c r="B766" s="283"/>
      <c r="C766" s="284"/>
      <c r="D766" s="261"/>
      <c r="E766" s="222">
        <v>2020</v>
      </c>
      <c r="F766" s="157">
        <f t="shared" si="148"/>
        <v>150</v>
      </c>
      <c r="G766" s="7"/>
      <c r="H766" s="7"/>
      <c r="I766" s="7">
        <f>135+5+10</f>
        <v>150</v>
      </c>
      <c r="J766" s="14"/>
      <c r="K766" s="249"/>
    </row>
    <row r="767" spans="1:35" ht="15" x14ac:dyDescent="0.25">
      <c r="A767" s="286"/>
      <c r="B767" s="283"/>
      <c r="C767" s="284"/>
      <c r="D767" s="261"/>
      <c r="E767" s="222">
        <v>2021</v>
      </c>
      <c r="F767" s="157">
        <f t="shared" ref="F767:F771" si="149">SUM(G767:I767)</f>
        <v>150</v>
      </c>
      <c r="G767" s="7"/>
      <c r="H767" s="7"/>
      <c r="I767" s="7">
        <v>150</v>
      </c>
      <c r="J767" s="14"/>
      <c r="K767" s="249"/>
    </row>
    <row r="768" spans="1:35" ht="15" x14ac:dyDescent="0.25">
      <c r="A768" s="286"/>
      <c r="B768" s="283"/>
      <c r="C768" s="284"/>
      <c r="D768" s="261"/>
      <c r="E768" s="222">
        <v>2022</v>
      </c>
      <c r="F768" s="157">
        <f t="shared" si="149"/>
        <v>150</v>
      </c>
      <c r="G768" s="7"/>
      <c r="H768" s="7"/>
      <c r="I768" s="7">
        <v>150</v>
      </c>
      <c r="J768" s="14"/>
      <c r="K768" s="249"/>
      <c r="L768" s="99"/>
    </row>
    <row r="769" spans="1:12" ht="15" x14ac:dyDescent="0.25">
      <c r="A769" s="286"/>
      <c r="B769" s="283"/>
      <c r="C769" s="284"/>
      <c r="D769" s="261"/>
      <c r="E769" s="222">
        <v>2023</v>
      </c>
      <c r="F769" s="157">
        <f t="shared" si="149"/>
        <v>0</v>
      </c>
      <c r="G769" s="7"/>
      <c r="H769" s="7"/>
      <c r="I769" s="7">
        <f>135-135</f>
        <v>0</v>
      </c>
      <c r="J769" s="14"/>
      <c r="K769" s="249"/>
      <c r="L769" s="106"/>
    </row>
    <row r="770" spans="1:12" ht="15" x14ac:dyDescent="0.25">
      <c r="A770" s="286"/>
      <c r="B770" s="283"/>
      <c r="C770" s="284"/>
      <c r="D770" s="261"/>
      <c r="E770" s="222">
        <v>2024</v>
      </c>
      <c r="F770" s="157">
        <f t="shared" si="149"/>
        <v>135</v>
      </c>
      <c r="G770" s="7"/>
      <c r="H770" s="7"/>
      <c r="I770" s="7">
        <v>135</v>
      </c>
      <c r="J770" s="14"/>
      <c r="K770" s="249"/>
      <c r="L770" s="99"/>
    </row>
    <row r="771" spans="1:12" ht="15" x14ac:dyDescent="0.25">
      <c r="A771" s="286"/>
      <c r="B771" s="283"/>
      <c r="C771" s="284"/>
      <c r="D771" s="261"/>
      <c r="E771" s="222">
        <v>2025</v>
      </c>
      <c r="F771" s="157">
        <f t="shared" si="149"/>
        <v>135</v>
      </c>
      <c r="G771" s="7"/>
      <c r="H771" s="7"/>
      <c r="I771" s="7">
        <v>135</v>
      </c>
      <c r="J771" s="14"/>
      <c r="K771" s="249"/>
    </row>
    <row r="772" spans="1:12" ht="14.25" x14ac:dyDescent="0.2">
      <c r="A772" s="286"/>
      <c r="B772" s="283"/>
      <c r="C772" s="284"/>
      <c r="D772" s="277"/>
      <c r="E772" s="18" t="s">
        <v>18</v>
      </c>
      <c r="F772" s="159">
        <f>SUM(F761:F771)</f>
        <v>1022</v>
      </c>
      <c r="G772" s="8"/>
      <c r="H772" s="8"/>
      <c r="I772" s="8">
        <f>SUM(I761:I771)</f>
        <v>1022</v>
      </c>
      <c r="J772" s="14"/>
      <c r="K772" s="250"/>
    </row>
    <row r="773" spans="1:12" ht="15" x14ac:dyDescent="0.25">
      <c r="A773" s="388" t="s">
        <v>272</v>
      </c>
      <c r="B773" s="258" t="s">
        <v>407</v>
      </c>
      <c r="C773" s="272" t="s">
        <v>395</v>
      </c>
      <c r="D773" s="248" t="s">
        <v>449</v>
      </c>
      <c r="E773" s="222">
        <v>2015</v>
      </c>
      <c r="F773" s="157">
        <f t="shared" ref="F773:F778" si="150">I773</f>
        <v>12</v>
      </c>
      <c r="G773" s="7"/>
      <c r="H773" s="7"/>
      <c r="I773" s="7">
        <v>12</v>
      </c>
      <c r="J773" s="14"/>
      <c r="K773" s="248" t="s">
        <v>163</v>
      </c>
    </row>
    <row r="774" spans="1:12" ht="15" x14ac:dyDescent="0.25">
      <c r="A774" s="389"/>
      <c r="B774" s="283"/>
      <c r="C774" s="284"/>
      <c r="D774" s="261"/>
      <c r="E774" s="222">
        <v>2016</v>
      </c>
      <c r="F774" s="157">
        <f t="shared" si="150"/>
        <v>12.5</v>
      </c>
      <c r="G774" s="7"/>
      <c r="H774" s="7"/>
      <c r="I774" s="7">
        <v>12.5</v>
      </c>
      <c r="J774" s="14"/>
      <c r="K774" s="249"/>
    </row>
    <row r="775" spans="1:12" ht="15" x14ac:dyDescent="0.25">
      <c r="A775" s="389"/>
      <c r="B775" s="283"/>
      <c r="C775" s="284"/>
      <c r="D775" s="261"/>
      <c r="E775" s="222">
        <v>2017</v>
      </c>
      <c r="F775" s="157">
        <f t="shared" si="150"/>
        <v>0</v>
      </c>
      <c r="G775" s="7"/>
      <c r="H775" s="7"/>
      <c r="I775" s="7">
        <f>9.3-9.3</f>
        <v>0</v>
      </c>
      <c r="J775" s="14"/>
      <c r="K775" s="249"/>
      <c r="L775" s="106"/>
    </row>
    <row r="776" spans="1:12" ht="15" x14ac:dyDescent="0.25">
      <c r="A776" s="389"/>
      <c r="B776" s="283"/>
      <c r="C776" s="284"/>
      <c r="D776" s="261"/>
      <c r="E776" s="222">
        <v>2018</v>
      </c>
      <c r="F776" s="157">
        <f t="shared" si="150"/>
        <v>0</v>
      </c>
      <c r="G776" s="7"/>
      <c r="H776" s="7"/>
      <c r="I776" s="7">
        <v>0</v>
      </c>
      <c r="J776" s="14"/>
      <c r="K776" s="249"/>
      <c r="L776" s="99"/>
    </row>
    <row r="777" spans="1:12" ht="15" x14ac:dyDescent="0.25">
      <c r="A777" s="389"/>
      <c r="B777" s="283"/>
      <c r="C777" s="284"/>
      <c r="D777" s="261"/>
      <c r="E777" s="222">
        <v>2019</v>
      </c>
      <c r="F777" s="157">
        <f t="shared" si="150"/>
        <v>0</v>
      </c>
      <c r="G777" s="7"/>
      <c r="H777" s="7"/>
      <c r="I777" s="7">
        <f>14-14</f>
        <v>0</v>
      </c>
      <c r="J777" s="14"/>
      <c r="K777" s="249"/>
      <c r="L777" s="99"/>
    </row>
    <row r="778" spans="1:12" ht="15" x14ac:dyDescent="0.25">
      <c r="A778" s="389"/>
      <c r="B778" s="283"/>
      <c r="C778" s="284"/>
      <c r="D778" s="261"/>
      <c r="E778" s="222">
        <v>2020</v>
      </c>
      <c r="F778" s="157">
        <f t="shared" si="150"/>
        <v>0</v>
      </c>
      <c r="G778" s="7"/>
      <c r="H778" s="7"/>
      <c r="I778" s="7">
        <f>14-14</f>
        <v>0</v>
      </c>
      <c r="J778" s="14"/>
      <c r="K778" s="249"/>
    </row>
    <row r="779" spans="1:12" ht="15" x14ac:dyDescent="0.25">
      <c r="A779" s="389"/>
      <c r="B779" s="283"/>
      <c r="C779" s="284"/>
      <c r="D779" s="261"/>
      <c r="E779" s="222">
        <v>2021</v>
      </c>
      <c r="F779" s="157">
        <f t="shared" ref="F779:F783" si="151">I779</f>
        <v>0</v>
      </c>
      <c r="G779" s="7"/>
      <c r="H779" s="7"/>
      <c r="I779" s="7">
        <f>14-14</f>
        <v>0</v>
      </c>
      <c r="J779" s="14"/>
      <c r="K779" s="249"/>
    </row>
    <row r="780" spans="1:12" ht="15" x14ac:dyDescent="0.25">
      <c r="A780" s="389"/>
      <c r="B780" s="283"/>
      <c r="C780" s="284"/>
      <c r="D780" s="261"/>
      <c r="E780" s="222">
        <v>2022</v>
      </c>
      <c r="F780" s="157">
        <f t="shared" si="151"/>
        <v>0</v>
      </c>
      <c r="G780" s="7"/>
      <c r="H780" s="7"/>
      <c r="I780" s="7">
        <f>14-14</f>
        <v>0</v>
      </c>
      <c r="J780" s="14"/>
      <c r="K780" s="249"/>
      <c r="L780" s="106"/>
    </row>
    <row r="781" spans="1:12" ht="15" x14ac:dyDescent="0.25">
      <c r="A781" s="389"/>
      <c r="B781" s="283"/>
      <c r="C781" s="284"/>
      <c r="D781" s="261"/>
      <c r="E781" s="222">
        <v>2023</v>
      </c>
      <c r="F781" s="157">
        <f t="shared" si="151"/>
        <v>0</v>
      </c>
      <c r="G781" s="7"/>
      <c r="H781" s="7"/>
      <c r="I781" s="7">
        <f>14-14</f>
        <v>0</v>
      </c>
      <c r="J781" s="14"/>
      <c r="K781" s="249"/>
      <c r="L781" s="99"/>
    </row>
    <row r="782" spans="1:12" ht="15" x14ac:dyDescent="0.25">
      <c r="A782" s="389"/>
      <c r="B782" s="283"/>
      <c r="C782" s="284"/>
      <c r="D782" s="261"/>
      <c r="E782" s="222">
        <v>2024</v>
      </c>
      <c r="F782" s="157">
        <f t="shared" si="151"/>
        <v>14</v>
      </c>
      <c r="G782" s="7"/>
      <c r="H782" s="7"/>
      <c r="I782" s="7">
        <v>14</v>
      </c>
      <c r="J782" s="14"/>
      <c r="K782" s="249"/>
      <c r="L782" s="99"/>
    </row>
    <row r="783" spans="1:12" ht="15" x14ac:dyDescent="0.25">
      <c r="A783" s="389"/>
      <c r="B783" s="283"/>
      <c r="C783" s="284"/>
      <c r="D783" s="261"/>
      <c r="E783" s="222">
        <v>2025</v>
      </c>
      <c r="F783" s="157">
        <f t="shared" si="151"/>
        <v>14</v>
      </c>
      <c r="G783" s="7"/>
      <c r="H783" s="7"/>
      <c r="I783" s="7">
        <v>14</v>
      </c>
      <c r="J783" s="14"/>
      <c r="K783" s="249"/>
    </row>
    <row r="784" spans="1:12" ht="14.25" x14ac:dyDescent="0.2">
      <c r="A784" s="389"/>
      <c r="B784" s="283"/>
      <c r="C784" s="284"/>
      <c r="D784" s="277"/>
      <c r="E784" s="18" t="s">
        <v>18</v>
      </c>
      <c r="F784" s="159">
        <f>SUM(F773:F783)</f>
        <v>52.5</v>
      </c>
      <c r="G784" s="8"/>
      <c r="H784" s="8"/>
      <c r="I784" s="8">
        <f>SUM(I773:I783)</f>
        <v>52.5</v>
      </c>
      <c r="J784" s="14"/>
      <c r="K784" s="250"/>
    </row>
    <row r="785" spans="1:35" x14ac:dyDescent="0.2">
      <c r="A785" s="388" t="s">
        <v>280</v>
      </c>
      <c r="B785" s="258" t="s">
        <v>88</v>
      </c>
      <c r="C785" s="272" t="s">
        <v>61</v>
      </c>
      <c r="D785" s="248" t="s">
        <v>449</v>
      </c>
      <c r="E785" s="222">
        <v>2015</v>
      </c>
      <c r="F785" s="72"/>
      <c r="G785" s="2"/>
      <c r="H785" s="2"/>
      <c r="I785" s="2"/>
      <c r="J785" s="2"/>
      <c r="K785" s="248" t="s">
        <v>164</v>
      </c>
    </row>
    <row r="786" spans="1:35" x14ac:dyDescent="0.2">
      <c r="A786" s="389"/>
      <c r="B786" s="283"/>
      <c r="C786" s="284"/>
      <c r="D786" s="261"/>
      <c r="E786" s="222">
        <v>2016</v>
      </c>
      <c r="F786" s="72"/>
      <c r="G786" s="2"/>
      <c r="H786" s="2"/>
      <c r="I786" s="2"/>
      <c r="J786" s="2"/>
      <c r="K786" s="249"/>
    </row>
    <row r="787" spans="1:35" x14ac:dyDescent="0.2">
      <c r="A787" s="389"/>
      <c r="B787" s="283"/>
      <c r="C787" s="284"/>
      <c r="D787" s="261"/>
      <c r="E787" s="222">
        <v>2017</v>
      </c>
      <c r="F787" s="72"/>
      <c r="G787" s="2"/>
      <c r="H787" s="2"/>
      <c r="I787" s="2"/>
      <c r="J787" s="2"/>
      <c r="K787" s="249"/>
    </row>
    <row r="788" spans="1:35" x14ac:dyDescent="0.2">
      <c r="A788" s="389"/>
      <c r="B788" s="283"/>
      <c r="C788" s="284"/>
      <c r="D788" s="261"/>
      <c r="E788" s="222">
        <v>2018</v>
      </c>
      <c r="F788" s="72"/>
      <c r="G788" s="2"/>
      <c r="H788" s="2"/>
      <c r="I788" s="2"/>
      <c r="J788" s="2"/>
      <c r="K788" s="249"/>
      <c r="L788" s="106"/>
    </row>
    <row r="789" spans="1:35" x14ac:dyDescent="0.2">
      <c r="A789" s="389"/>
      <c r="B789" s="283"/>
      <c r="C789" s="284"/>
      <c r="D789" s="261"/>
      <c r="E789" s="222">
        <v>2019</v>
      </c>
      <c r="F789" s="72"/>
      <c r="G789" s="2"/>
      <c r="H789" s="2"/>
      <c r="I789" s="2"/>
      <c r="J789" s="2"/>
      <c r="K789" s="249"/>
    </row>
    <row r="790" spans="1:35" x14ac:dyDescent="0.2">
      <c r="A790" s="389"/>
      <c r="B790" s="283"/>
      <c r="C790" s="284"/>
      <c r="D790" s="261"/>
      <c r="E790" s="222">
        <v>2020</v>
      </c>
      <c r="F790" s="72"/>
      <c r="G790" s="2"/>
      <c r="H790" s="2"/>
      <c r="I790" s="2"/>
      <c r="J790" s="2"/>
      <c r="K790" s="249"/>
    </row>
    <row r="791" spans="1:35" x14ac:dyDescent="0.2">
      <c r="A791" s="389"/>
      <c r="B791" s="283"/>
      <c r="C791" s="284"/>
      <c r="D791" s="277"/>
      <c r="E791" s="18" t="s">
        <v>18</v>
      </c>
      <c r="F791" s="72"/>
      <c r="G791" s="2"/>
      <c r="H791" s="2"/>
      <c r="I791" s="2"/>
      <c r="J791" s="2"/>
      <c r="K791" s="250"/>
    </row>
    <row r="792" spans="1:35" ht="12.75" customHeight="1" x14ac:dyDescent="0.2">
      <c r="A792" s="388" t="s">
        <v>281</v>
      </c>
      <c r="B792" s="258" t="s">
        <v>89</v>
      </c>
      <c r="C792" s="272" t="s">
        <v>61</v>
      </c>
      <c r="D792" s="248" t="s">
        <v>449</v>
      </c>
      <c r="E792" s="222">
        <v>2015</v>
      </c>
      <c r="F792" s="72"/>
      <c r="G792" s="2"/>
      <c r="H792" s="2"/>
      <c r="I792" s="2"/>
      <c r="J792" s="2"/>
      <c r="K792" s="248" t="s">
        <v>165</v>
      </c>
    </row>
    <row r="793" spans="1:35" x14ac:dyDescent="0.2">
      <c r="A793" s="389"/>
      <c r="B793" s="283"/>
      <c r="C793" s="284"/>
      <c r="D793" s="261"/>
      <c r="E793" s="222">
        <v>2016</v>
      </c>
      <c r="F793" s="72"/>
      <c r="G793" s="2"/>
      <c r="H793" s="2"/>
      <c r="I793" s="2"/>
      <c r="J793" s="2"/>
      <c r="K793" s="249"/>
    </row>
    <row r="794" spans="1:35" x14ac:dyDescent="0.2">
      <c r="A794" s="389"/>
      <c r="B794" s="283"/>
      <c r="C794" s="284"/>
      <c r="D794" s="261"/>
      <c r="E794" s="222">
        <v>2017</v>
      </c>
      <c r="F794" s="72"/>
      <c r="G794" s="2"/>
      <c r="H794" s="2"/>
      <c r="I794" s="2"/>
      <c r="J794" s="2"/>
      <c r="K794" s="249"/>
    </row>
    <row r="795" spans="1:35" x14ac:dyDescent="0.2">
      <c r="A795" s="389"/>
      <c r="B795" s="283"/>
      <c r="C795" s="284"/>
      <c r="D795" s="261"/>
      <c r="E795" s="222">
        <v>2018</v>
      </c>
      <c r="F795" s="72"/>
      <c r="G795" s="2"/>
      <c r="H795" s="2"/>
      <c r="I795" s="2"/>
      <c r="J795" s="2"/>
      <c r="K795" s="249"/>
      <c r="L795" s="106"/>
    </row>
    <row r="796" spans="1:35" x14ac:dyDescent="0.2">
      <c r="A796" s="389"/>
      <c r="B796" s="283"/>
      <c r="C796" s="284"/>
      <c r="D796" s="261"/>
      <c r="E796" s="222">
        <v>2019</v>
      </c>
      <c r="F796" s="72"/>
      <c r="G796" s="2"/>
      <c r="H796" s="2"/>
      <c r="I796" s="2"/>
      <c r="J796" s="2"/>
      <c r="K796" s="249"/>
    </row>
    <row r="797" spans="1:35" x14ac:dyDescent="0.2">
      <c r="A797" s="389"/>
      <c r="B797" s="283"/>
      <c r="C797" s="284"/>
      <c r="D797" s="261"/>
      <c r="E797" s="222">
        <v>2020</v>
      </c>
      <c r="F797" s="72"/>
      <c r="G797" s="2"/>
      <c r="H797" s="2"/>
      <c r="I797" s="2"/>
      <c r="J797" s="2"/>
      <c r="K797" s="249"/>
    </row>
    <row r="798" spans="1:35" ht="24.75" customHeight="1" x14ac:dyDescent="0.2">
      <c r="A798" s="389"/>
      <c r="B798" s="283"/>
      <c r="C798" s="284"/>
      <c r="D798" s="277"/>
      <c r="E798" s="18" t="s">
        <v>18</v>
      </c>
      <c r="F798" s="72"/>
      <c r="G798" s="2"/>
      <c r="H798" s="2"/>
      <c r="I798" s="2"/>
      <c r="J798" s="2"/>
      <c r="K798" s="249"/>
      <c r="L798" s="135"/>
      <c r="M798" s="127"/>
    </row>
    <row r="799" spans="1:35" ht="15.75" customHeight="1" thickBot="1" x14ac:dyDescent="0.25">
      <c r="A799" s="387" t="s">
        <v>196</v>
      </c>
      <c r="B799" s="380"/>
      <c r="C799" s="380"/>
      <c r="D799" s="380"/>
      <c r="E799" s="6" t="s">
        <v>395</v>
      </c>
      <c r="F799" s="146">
        <f>F772+F784</f>
        <v>1074.5</v>
      </c>
      <c r="G799" s="146"/>
      <c r="H799" s="146">
        <f>H772+H784+H791+H798</f>
        <v>0</v>
      </c>
      <c r="I799" s="146">
        <f>I772+I784+I791+I798</f>
        <v>1074.5</v>
      </c>
      <c r="J799" s="15"/>
      <c r="K799" s="217"/>
    </row>
    <row r="800" spans="1:35" ht="31.5" customHeight="1" thickBot="1" x14ac:dyDescent="0.25">
      <c r="A800" s="339" t="s">
        <v>197</v>
      </c>
      <c r="B800" s="340"/>
      <c r="C800" s="340"/>
      <c r="D800" s="340"/>
      <c r="E800" s="340"/>
      <c r="F800" s="340"/>
      <c r="G800" s="340"/>
      <c r="H800" s="340"/>
      <c r="I800" s="340"/>
      <c r="J800" s="340"/>
      <c r="K800" s="340"/>
      <c r="L800" s="73"/>
      <c r="M800" s="73"/>
      <c r="N800" s="73"/>
      <c r="O800" s="73"/>
      <c r="P800" s="73"/>
      <c r="Q800" s="73"/>
      <c r="R800" s="73"/>
      <c r="S800" s="73"/>
      <c r="T800" s="73"/>
      <c r="U800" s="73"/>
      <c r="V800" s="73"/>
      <c r="W800" s="73"/>
      <c r="X800" s="73"/>
      <c r="Y800" s="73"/>
      <c r="Z800" s="73"/>
      <c r="AA800" s="73"/>
      <c r="AB800" s="73"/>
      <c r="AC800" s="73"/>
      <c r="AD800" s="73"/>
      <c r="AE800" s="73"/>
      <c r="AF800" s="73"/>
      <c r="AG800" s="73"/>
      <c r="AH800" s="73"/>
      <c r="AI800" s="74"/>
    </row>
    <row r="801" spans="1:35" ht="30" customHeight="1" thickBot="1" x14ac:dyDescent="0.25">
      <c r="A801" s="287" t="s">
        <v>198</v>
      </c>
      <c r="B801" s="402"/>
      <c r="C801" s="402"/>
      <c r="D801" s="403"/>
      <c r="E801" s="403"/>
      <c r="F801" s="403"/>
      <c r="G801" s="403"/>
      <c r="H801" s="403"/>
      <c r="I801" s="403"/>
      <c r="J801" s="403"/>
      <c r="K801" s="403"/>
      <c r="L801" s="75"/>
      <c r="M801" s="75"/>
      <c r="N801" s="75"/>
      <c r="O801" s="75"/>
      <c r="P801" s="75"/>
      <c r="Q801" s="75"/>
      <c r="R801" s="75"/>
      <c r="S801" s="75"/>
      <c r="T801" s="75"/>
      <c r="U801" s="75"/>
      <c r="V801" s="75"/>
      <c r="W801" s="75"/>
      <c r="X801" s="75"/>
      <c r="Y801" s="75"/>
      <c r="Z801" s="75"/>
      <c r="AA801" s="75"/>
      <c r="AB801" s="75"/>
      <c r="AC801" s="75"/>
      <c r="AD801" s="75"/>
      <c r="AE801" s="75"/>
      <c r="AF801" s="75"/>
      <c r="AG801" s="75"/>
      <c r="AH801" s="75"/>
      <c r="AI801" s="76"/>
    </row>
    <row r="802" spans="1:35" ht="15" x14ac:dyDescent="0.25">
      <c r="A802" s="385" t="s">
        <v>90</v>
      </c>
      <c r="B802" s="258" t="s">
        <v>91</v>
      </c>
      <c r="C802" s="272" t="s">
        <v>395</v>
      </c>
      <c r="D802" s="260" t="s">
        <v>452</v>
      </c>
      <c r="E802" s="222">
        <v>2015</v>
      </c>
      <c r="F802" s="156">
        <f t="shared" ref="F802:F807" si="152">SUM(G802:I802)</f>
        <v>170</v>
      </c>
      <c r="G802" s="7"/>
      <c r="H802" s="7"/>
      <c r="I802" s="7">
        <v>170</v>
      </c>
      <c r="J802" s="14"/>
      <c r="K802" s="260" t="s">
        <v>166</v>
      </c>
    </row>
    <row r="803" spans="1:35" ht="15" x14ac:dyDescent="0.25">
      <c r="A803" s="386"/>
      <c r="B803" s="283"/>
      <c r="C803" s="284"/>
      <c r="D803" s="284"/>
      <c r="E803" s="222">
        <v>2016</v>
      </c>
      <c r="F803" s="156">
        <f t="shared" si="152"/>
        <v>179.9</v>
      </c>
      <c r="G803" s="7"/>
      <c r="H803" s="7"/>
      <c r="I803" s="7">
        <f>180-0.1</f>
        <v>179.9</v>
      </c>
      <c r="J803" s="14"/>
      <c r="K803" s="260"/>
    </row>
    <row r="804" spans="1:35" ht="15" x14ac:dyDescent="0.25">
      <c r="A804" s="386"/>
      <c r="B804" s="283"/>
      <c r="C804" s="284"/>
      <c r="D804" s="284"/>
      <c r="E804" s="222">
        <v>2017</v>
      </c>
      <c r="F804" s="156">
        <f t="shared" si="152"/>
        <v>155</v>
      </c>
      <c r="G804" s="7"/>
      <c r="H804" s="7"/>
      <c r="I804" s="7">
        <v>155</v>
      </c>
      <c r="J804" s="14"/>
      <c r="K804" s="260"/>
      <c r="L804" s="106"/>
    </row>
    <row r="805" spans="1:35" ht="15" x14ac:dyDescent="0.25">
      <c r="A805" s="386"/>
      <c r="B805" s="283"/>
      <c r="C805" s="284"/>
      <c r="D805" s="284"/>
      <c r="E805" s="222">
        <v>2018</v>
      </c>
      <c r="F805" s="156">
        <f t="shared" si="152"/>
        <v>121.8</v>
      </c>
      <c r="G805" s="7"/>
      <c r="H805" s="7"/>
      <c r="I805" s="7">
        <f>149-9-18.2</f>
        <v>121.8</v>
      </c>
      <c r="J805" s="14"/>
      <c r="K805" s="260"/>
      <c r="L805" s="99"/>
    </row>
    <row r="806" spans="1:35" ht="15" x14ac:dyDescent="0.25">
      <c r="A806" s="386"/>
      <c r="B806" s="283"/>
      <c r="C806" s="284"/>
      <c r="D806" s="284"/>
      <c r="E806" s="222">
        <v>2019</v>
      </c>
      <c r="F806" s="156">
        <f t="shared" si="152"/>
        <v>176.2</v>
      </c>
      <c r="G806" s="7"/>
      <c r="H806" s="7"/>
      <c r="I806" s="7">
        <f>111+65.2</f>
        <v>176.2</v>
      </c>
      <c r="J806" s="14"/>
      <c r="K806" s="260"/>
      <c r="L806" s="99"/>
    </row>
    <row r="807" spans="1:35" ht="15" x14ac:dyDescent="0.25">
      <c r="A807" s="386"/>
      <c r="B807" s="283"/>
      <c r="C807" s="284"/>
      <c r="D807" s="284"/>
      <c r="E807" s="222">
        <v>2020</v>
      </c>
      <c r="F807" s="156">
        <f t="shared" si="152"/>
        <v>39.5</v>
      </c>
      <c r="G807" s="7"/>
      <c r="H807" s="7"/>
      <c r="I807" s="7">
        <f>111-71.5</f>
        <v>39.5</v>
      </c>
      <c r="J807" s="14"/>
      <c r="K807" s="260"/>
    </row>
    <row r="808" spans="1:35" ht="15" x14ac:dyDescent="0.25">
      <c r="A808" s="386"/>
      <c r="B808" s="283"/>
      <c r="C808" s="284"/>
      <c r="D808" s="284"/>
      <c r="E808" s="222">
        <v>2021</v>
      </c>
      <c r="F808" s="156">
        <f t="shared" ref="F808:F812" si="153">SUM(G808:I808)</f>
        <v>150</v>
      </c>
      <c r="G808" s="7"/>
      <c r="H808" s="7"/>
      <c r="I808" s="7">
        <v>150</v>
      </c>
      <c r="J808" s="14"/>
      <c r="K808" s="260"/>
    </row>
    <row r="809" spans="1:35" ht="15" x14ac:dyDescent="0.25">
      <c r="A809" s="386"/>
      <c r="B809" s="283"/>
      <c r="C809" s="284"/>
      <c r="D809" s="284"/>
      <c r="E809" s="222">
        <v>2022</v>
      </c>
      <c r="F809" s="156">
        <f t="shared" si="153"/>
        <v>50</v>
      </c>
      <c r="G809" s="7"/>
      <c r="H809" s="7"/>
      <c r="I809" s="7">
        <v>50</v>
      </c>
      <c r="J809" s="14"/>
      <c r="K809" s="260"/>
      <c r="L809" s="106"/>
    </row>
    <row r="810" spans="1:35" ht="15" x14ac:dyDescent="0.25">
      <c r="A810" s="386"/>
      <c r="B810" s="283"/>
      <c r="C810" s="284"/>
      <c r="D810" s="284"/>
      <c r="E810" s="222">
        <v>2023</v>
      </c>
      <c r="F810" s="156">
        <f t="shared" si="153"/>
        <v>0</v>
      </c>
      <c r="G810" s="7"/>
      <c r="H810" s="7"/>
      <c r="I810" s="7">
        <f>111-111</f>
        <v>0</v>
      </c>
      <c r="J810" s="14"/>
      <c r="K810" s="260"/>
      <c r="L810" s="99"/>
    </row>
    <row r="811" spans="1:35" ht="15" x14ac:dyDescent="0.25">
      <c r="A811" s="386"/>
      <c r="B811" s="283"/>
      <c r="C811" s="284"/>
      <c r="D811" s="284"/>
      <c r="E811" s="222">
        <v>2024</v>
      </c>
      <c r="F811" s="156">
        <f t="shared" si="153"/>
        <v>111</v>
      </c>
      <c r="G811" s="7"/>
      <c r="H811" s="7"/>
      <c r="I811" s="7">
        <v>111</v>
      </c>
      <c r="J811" s="14"/>
      <c r="K811" s="260"/>
      <c r="L811" s="99"/>
    </row>
    <row r="812" spans="1:35" ht="15" x14ac:dyDescent="0.25">
      <c r="A812" s="386"/>
      <c r="B812" s="283"/>
      <c r="C812" s="284"/>
      <c r="D812" s="284"/>
      <c r="E812" s="222">
        <v>2025</v>
      </c>
      <c r="F812" s="156">
        <f t="shared" si="153"/>
        <v>111</v>
      </c>
      <c r="G812" s="7"/>
      <c r="H812" s="7"/>
      <c r="I812" s="7">
        <v>111</v>
      </c>
      <c r="J812" s="14"/>
      <c r="K812" s="260"/>
    </row>
    <row r="813" spans="1:35" ht="14.25" x14ac:dyDescent="0.2">
      <c r="A813" s="386"/>
      <c r="B813" s="283"/>
      <c r="C813" s="284"/>
      <c r="D813" s="284"/>
      <c r="E813" s="18" t="s">
        <v>18</v>
      </c>
      <c r="F813" s="140">
        <f>SUM(F802:F812)</f>
        <v>1264.3999999999999</v>
      </c>
      <c r="G813" s="8"/>
      <c r="H813" s="8"/>
      <c r="I813" s="8">
        <f>SUM(I802:I812)</f>
        <v>1264.3999999999999</v>
      </c>
      <c r="J813" s="14"/>
      <c r="K813" s="260"/>
    </row>
    <row r="814" spans="1:35" x14ac:dyDescent="0.2">
      <c r="A814" s="400" t="s">
        <v>67</v>
      </c>
      <c r="B814" s="409" t="s">
        <v>92</v>
      </c>
      <c r="C814" s="282" t="s">
        <v>61</v>
      </c>
      <c r="D814" s="249" t="s">
        <v>452</v>
      </c>
      <c r="E814" s="208">
        <v>2015</v>
      </c>
      <c r="F814" s="187"/>
      <c r="G814" s="12"/>
      <c r="H814" s="12"/>
      <c r="I814" s="12"/>
      <c r="J814" s="12"/>
      <c r="K814" s="249" t="s">
        <v>167</v>
      </c>
    </row>
    <row r="815" spans="1:35" x14ac:dyDescent="0.2">
      <c r="A815" s="389"/>
      <c r="B815" s="397"/>
      <c r="C815" s="284"/>
      <c r="D815" s="261"/>
      <c r="E815" s="222">
        <v>2016</v>
      </c>
      <c r="F815" s="77"/>
      <c r="G815" s="14"/>
      <c r="H815" s="14"/>
      <c r="I815" s="14"/>
      <c r="J815" s="14"/>
      <c r="K815" s="249"/>
    </row>
    <row r="816" spans="1:35" x14ac:dyDescent="0.2">
      <c r="A816" s="389"/>
      <c r="B816" s="397"/>
      <c r="C816" s="284"/>
      <c r="D816" s="261"/>
      <c r="E816" s="222">
        <v>2017</v>
      </c>
      <c r="F816" s="77"/>
      <c r="G816" s="14"/>
      <c r="H816" s="14"/>
      <c r="I816" s="14"/>
      <c r="J816" s="14"/>
      <c r="K816" s="249"/>
      <c r="L816" s="106"/>
    </row>
    <row r="817" spans="1:35" x14ac:dyDescent="0.2">
      <c r="A817" s="389"/>
      <c r="B817" s="397"/>
      <c r="C817" s="284"/>
      <c r="D817" s="261"/>
      <c r="E817" s="222">
        <v>2018</v>
      </c>
      <c r="F817" s="77"/>
      <c r="G817" s="14"/>
      <c r="H817" s="14"/>
      <c r="I817" s="14"/>
      <c r="J817" s="14"/>
      <c r="K817" s="249"/>
    </row>
    <row r="818" spans="1:35" x14ac:dyDescent="0.2">
      <c r="A818" s="389"/>
      <c r="B818" s="397"/>
      <c r="C818" s="284"/>
      <c r="D818" s="261"/>
      <c r="E818" s="222">
        <v>2019</v>
      </c>
      <c r="F818" s="77"/>
      <c r="G818" s="14"/>
      <c r="H818" s="14"/>
      <c r="I818" s="14"/>
      <c r="J818" s="14"/>
      <c r="K818" s="249"/>
    </row>
    <row r="819" spans="1:35" x14ac:dyDescent="0.2">
      <c r="A819" s="389"/>
      <c r="B819" s="397"/>
      <c r="C819" s="284"/>
      <c r="D819" s="261"/>
      <c r="E819" s="222">
        <v>2020</v>
      </c>
      <c r="F819" s="77"/>
      <c r="G819" s="14"/>
      <c r="H819" s="14"/>
      <c r="I819" s="14"/>
      <c r="J819" s="14"/>
      <c r="K819" s="249"/>
    </row>
    <row r="820" spans="1:35" ht="54" customHeight="1" x14ac:dyDescent="0.2">
      <c r="A820" s="401"/>
      <c r="B820" s="397"/>
      <c r="C820" s="356"/>
      <c r="D820" s="277"/>
      <c r="E820" s="26" t="s">
        <v>18</v>
      </c>
      <c r="F820" s="78"/>
      <c r="G820" s="22"/>
      <c r="H820" s="22"/>
      <c r="I820" s="22"/>
      <c r="J820" s="22"/>
      <c r="K820" s="249"/>
    </row>
    <row r="821" spans="1:35" ht="15.75" customHeight="1" thickBot="1" x14ac:dyDescent="0.25">
      <c r="A821" s="387" t="s">
        <v>184</v>
      </c>
      <c r="B821" s="380"/>
      <c r="C821" s="380"/>
      <c r="D821" s="380"/>
      <c r="E821" s="6" t="s">
        <v>395</v>
      </c>
      <c r="F821" s="146">
        <f>F813+F820</f>
        <v>1264.3999999999999</v>
      </c>
      <c r="G821" s="146"/>
      <c r="H821" s="146">
        <f>H813+H820</f>
        <v>0</v>
      </c>
      <c r="I821" s="146">
        <f>I813+I820</f>
        <v>1264.3999999999999</v>
      </c>
      <c r="J821" s="17"/>
      <c r="K821" s="92"/>
      <c r="M821" s="126"/>
      <c r="N821" s="127"/>
    </row>
    <row r="822" spans="1:35" ht="18" customHeight="1" thickBot="1" x14ac:dyDescent="0.25">
      <c r="A822" s="404" t="s">
        <v>199</v>
      </c>
      <c r="B822" s="405"/>
      <c r="C822" s="405"/>
      <c r="D822" s="405"/>
      <c r="E822" s="405"/>
      <c r="F822" s="405"/>
      <c r="G822" s="405"/>
      <c r="H822" s="405"/>
      <c r="I822" s="405"/>
      <c r="J822" s="405"/>
      <c r="K822" s="406"/>
      <c r="L822" s="63"/>
      <c r="M822" s="63"/>
      <c r="N822" s="63"/>
      <c r="O822" s="63"/>
      <c r="P822" s="63"/>
      <c r="Q822" s="63"/>
      <c r="R822" s="63"/>
      <c r="S822" s="63"/>
      <c r="T822" s="63"/>
      <c r="U822" s="63"/>
      <c r="V822" s="63"/>
      <c r="W822" s="63"/>
      <c r="X822" s="63"/>
      <c r="Y822" s="63"/>
      <c r="Z822" s="63"/>
      <c r="AA822" s="63"/>
      <c r="AB822" s="63"/>
      <c r="AC822" s="63"/>
      <c r="AD822" s="63"/>
      <c r="AE822" s="63"/>
      <c r="AF822" s="63"/>
      <c r="AG822" s="63"/>
      <c r="AH822" s="63"/>
      <c r="AI822" s="64"/>
    </row>
    <row r="823" spans="1:35" ht="15" thickBot="1" x14ac:dyDescent="0.25">
      <c r="A823" s="369" t="s">
        <v>76</v>
      </c>
      <c r="B823" s="407"/>
      <c r="C823" s="407"/>
      <c r="D823" s="407"/>
      <c r="E823" s="407"/>
      <c r="F823" s="407"/>
      <c r="G823" s="407"/>
      <c r="H823" s="407"/>
      <c r="I823" s="407"/>
      <c r="J823" s="407"/>
      <c r="K823" s="408"/>
      <c r="L823" s="79"/>
      <c r="M823" s="79"/>
      <c r="N823" s="79"/>
      <c r="O823" s="79"/>
      <c r="P823" s="79"/>
      <c r="Q823" s="79"/>
      <c r="R823" s="79"/>
      <c r="S823" s="79"/>
      <c r="T823" s="79"/>
      <c r="U823" s="79"/>
      <c r="V823" s="79"/>
      <c r="W823" s="79"/>
      <c r="X823" s="79"/>
      <c r="Y823" s="79"/>
      <c r="Z823" s="79"/>
      <c r="AA823" s="79"/>
      <c r="AB823" s="79"/>
      <c r="AC823" s="79"/>
      <c r="AD823" s="79"/>
      <c r="AE823" s="79"/>
      <c r="AF823" s="79"/>
      <c r="AG823" s="79"/>
      <c r="AH823" s="79"/>
      <c r="AI823" s="80"/>
    </row>
    <row r="824" spans="1:35" ht="15" x14ac:dyDescent="0.25">
      <c r="A824" s="400" t="s">
        <v>77</v>
      </c>
      <c r="B824" s="292" t="s">
        <v>93</v>
      </c>
      <c r="C824" s="250" t="s">
        <v>395</v>
      </c>
      <c r="D824" s="249" t="s">
        <v>452</v>
      </c>
      <c r="E824" s="208">
        <v>2015</v>
      </c>
      <c r="F824" s="160">
        <f t="shared" ref="F824:F829" si="154">SUM(G824:I824)</f>
        <v>5</v>
      </c>
      <c r="G824" s="143"/>
      <c r="H824" s="143"/>
      <c r="I824" s="143">
        <v>5</v>
      </c>
      <c r="J824" s="12"/>
      <c r="K824" s="249" t="s">
        <v>168</v>
      </c>
    </row>
    <row r="825" spans="1:35" ht="15" x14ac:dyDescent="0.25">
      <c r="A825" s="389"/>
      <c r="B825" s="283"/>
      <c r="C825" s="393"/>
      <c r="D825" s="261"/>
      <c r="E825" s="222">
        <v>2016</v>
      </c>
      <c r="F825" s="157">
        <f t="shared" si="154"/>
        <v>6</v>
      </c>
      <c r="G825" s="7"/>
      <c r="H825" s="7"/>
      <c r="I825" s="7">
        <v>6</v>
      </c>
      <c r="J825" s="14"/>
      <c r="K825" s="249"/>
    </row>
    <row r="826" spans="1:35" ht="15" x14ac:dyDescent="0.25">
      <c r="A826" s="389"/>
      <c r="B826" s="283"/>
      <c r="C826" s="393"/>
      <c r="D826" s="261"/>
      <c r="E826" s="222">
        <v>2017</v>
      </c>
      <c r="F826" s="157">
        <f t="shared" si="154"/>
        <v>5</v>
      </c>
      <c r="G826" s="7"/>
      <c r="H826" s="7"/>
      <c r="I826" s="7">
        <v>5</v>
      </c>
      <c r="J826" s="14"/>
      <c r="K826" s="249"/>
      <c r="L826" s="99"/>
    </row>
    <row r="827" spans="1:35" ht="15" x14ac:dyDescent="0.25">
      <c r="A827" s="389"/>
      <c r="B827" s="283"/>
      <c r="C827" s="393"/>
      <c r="D827" s="261"/>
      <c r="E827" s="222">
        <v>2018</v>
      </c>
      <c r="F827" s="157">
        <f t="shared" si="154"/>
        <v>7</v>
      </c>
      <c r="G827" s="7"/>
      <c r="H827" s="7"/>
      <c r="I827" s="7">
        <v>7</v>
      </c>
      <c r="J827" s="14"/>
      <c r="K827" s="249"/>
      <c r="L827" s="106"/>
    </row>
    <row r="828" spans="1:35" ht="15" x14ac:dyDescent="0.25">
      <c r="A828" s="389"/>
      <c r="B828" s="283"/>
      <c r="C828" s="393"/>
      <c r="D828" s="261"/>
      <c r="E828" s="222">
        <v>2019</v>
      </c>
      <c r="F828" s="157">
        <f t="shared" si="154"/>
        <v>7.5</v>
      </c>
      <c r="G828" s="7"/>
      <c r="H828" s="7"/>
      <c r="I828" s="7">
        <v>7.5</v>
      </c>
      <c r="J828" s="14"/>
      <c r="K828" s="249"/>
      <c r="L828" s="99"/>
    </row>
    <row r="829" spans="1:35" ht="15" x14ac:dyDescent="0.25">
      <c r="A829" s="389"/>
      <c r="B829" s="283"/>
      <c r="C829" s="393"/>
      <c r="D829" s="261"/>
      <c r="E829" s="222">
        <v>2020</v>
      </c>
      <c r="F829" s="157">
        <f t="shared" si="154"/>
        <v>0</v>
      </c>
      <c r="G829" s="7"/>
      <c r="H829" s="7"/>
      <c r="I829" s="7">
        <f>8-8</f>
        <v>0</v>
      </c>
      <c r="J829" s="14"/>
      <c r="K829" s="249"/>
    </row>
    <row r="830" spans="1:35" ht="15" x14ac:dyDescent="0.25">
      <c r="A830" s="401"/>
      <c r="B830" s="289"/>
      <c r="C830" s="398"/>
      <c r="D830" s="261"/>
      <c r="E830" s="222">
        <v>2021</v>
      </c>
      <c r="F830" s="157">
        <f t="shared" ref="F830:F833" si="155">SUM(G830:I830)</f>
        <v>8</v>
      </c>
      <c r="G830" s="7"/>
      <c r="H830" s="7"/>
      <c r="I830" s="7">
        <v>8</v>
      </c>
      <c r="J830" s="14"/>
      <c r="K830" s="249"/>
    </row>
    <row r="831" spans="1:35" ht="15" x14ac:dyDescent="0.25">
      <c r="A831" s="401"/>
      <c r="B831" s="289"/>
      <c r="C831" s="398"/>
      <c r="D831" s="261"/>
      <c r="E831" s="222">
        <v>2022</v>
      </c>
      <c r="F831" s="157">
        <f t="shared" si="155"/>
        <v>0</v>
      </c>
      <c r="G831" s="7"/>
      <c r="H831" s="7"/>
      <c r="I831" s="7">
        <f>8-8</f>
        <v>0</v>
      </c>
      <c r="J831" s="14"/>
      <c r="K831" s="249"/>
      <c r="L831" s="99"/>
    </row>
    <row r="832" spans="1:35" ht="15" x14ac:dyDescent="0.25">
      <c r="A832" s="401"/>
      <c r="B832" s="289"/>
      <c r="C832" s="398"/>
      <c r="D832" s="261"/>
      <c r="E832" s="222">
        <v>2023</v>
      </c>
      <c r="F832" s="157">
        <f t="shared" si="155"/>
        <v>0</v>
      </c>
      <c r="G832" s="7"/>
      <c r="H832" s="7"/>
      <c r="I832" s="7">
        <f>8-8</f>
        <v>0</v>
      </c>
      <c r="J832" s="14"/>
      <c r="K832" s="249"/>
      <c r="L832" s="106"/>
    </row>
    <row r="833" spans="1:13" ht="15" x14ac:dyDescent="0.25">
      <c r="A833" s="401"/>
      <c r="B833" s="289"/>
      <c r="C833" s="398"/>
      <c r="D833" s="261"/>
      <c r="E833" s="222">
        <v>2024</v>
      </c>
      <c r="F833" s="157">
        <f t="shared" si="155"/>
        <v>8</v>
      </c>
      <c r="G833" s="7"/>
      <c r="H833" s="7"/>
      <c r="I833" s="7">
        <v>8</v>
      </c>
      <c r="J833" s="14"/>
      <c r="K833" s="249"/>
      <c r="L833" s="99"/>
    </row>
    <row r="834" spans="1:13" ht="15" x14ac:dyDescent="0.25">
      <c r="A834" s="401"/>
      <c r="B834" s="289"/>
      <c r="C834" s="398"/>
      <c r="D834" s="261"/>
      <c r="E834" s="222">
        <v>2025</v>
      </c>
      <c r="F834" s="157">
        <f t="shared" ref="F834" si="156">SUM(G834:I834)</f>
        <v>8</v>
      </c>
      <c r="G834" s="7"/>
      <c r="H834" s="7"/>
      <c r="I834" s="7">
        <v>8</v>
      </c>
      <c r="J834" s="14"/>
      <c r="K834" s="249"/>
      <c r="L834" s="99"/>
    </row>
    <row r="835" spans="1:13" ht="14.25" x14ac:dyDescent="0.2">
      <c r="A835" s="401"/>
      <c r="B835" s="289"/>
      <c r="C835" s="398"/>
      <c r="D835" s="277"/>
      <c r="E835" s="26" t="s">
        <v>18</v>
      </c>
      <c r="F835" s="161">
        <f>SUM(F824:F834)</f>
        <v>54.5</v>
      </c>
      <c r="G835" s="162"/>
      <c r="H835" s="162"/>
      <c r="I835" s="162">
        <f>SUM(I824:I834)</f>
        <v>54.5</v>
      </c>
      <c r="J835" s="22"/>
      <c r="K835" s="250"/>
    </row>
    <row r="836" spans="1:13" ht="15" x14ac:dyDescent="0.25">
      <c r="A836" s="385" t="s">
        <v>78</v>
      </c>
      <c r="B836" s="258" t="s">
        <v>94</v>
      </c>
      <c r="C836" s="260" t="s">
        <v>395</v>
      </c>
      <c r="D836" s="248" t="s">
        <v>452</v>
      </c>
      <c r="E836" s="222">
        <v>2015</v>
      </c>
      <c r="F836" s="156">
        <f t="shared" ref="F836:F841" si="157">SUM(G836:I836)</f>
        <v>13.5</v>
      </c>
      <c r="G836" s="7"/>
      <c r="H836" s="7"/>
      <c r="I836" s="7">
        <v>13.5</v>
      </c>
      <c r="J836" s="14"/>
      <c r="K836" s="248" t="s">
        <v>168</v>
      </c>
    </row>
    <row r="837" spans="1:13" ht="15" x14ac:dyDescent="0.25">
      <c r="A837" s="386"/>
      <c r="B837" s="283"/>
      <c r="C837" s="393"/>
      <c r="D837" s="261"/>
      <c r="E837" s="222">
        <v>2016</v>
      </c>
      <c r="F837" s="156">
        <f t="shared" si="157"/>
        <v>14</v>
      </c>
      <c r="G837" s="7"/>
      <c r="H837" s="7"/>
      <c r="I837" s="7">
        <v>14</v>
      </c>
      <c r="J837" s="14"/>
      <c r="K837" s="249"/>
    </row>
    <row r="838" spans="1:13" ht="15" x14ac:dyDescent="0.25">
      <c r="A838" s="386"/>
      <c r="B838" s="283"/>
      <c r="C838" s="393"/>
      <c r="D838" s="261"/>
      <c r="E838" s="222">
        <v>2017</v>
      </c>
      <c r="F838" s="156">
        <f t="shared" si="157"/>
        <v>11.3</v>
      </c>
      <c r="G838" s="7"/>
      <c r="H838" s="7"/>
      <c r="I838" s="7">
        <v>11.3</v>
      </c>
      <c r="J838" s="14"/>
      <c r="K838" s="249"/>
      <c r="L838" s="99"/>
    </row>
    <row r="839" spans="1:13" ht="15" x14ac:dyDescent="0.25">
      <c r="A839" s="386"/>
      <c r="B839" s="283"/>
      <c r="C839" s="393"/>
      <c r="D839" s="261"/>
      <c r="E839" s="222">
        <v>2018</v>
      </c>
      <c r="F839" s="156">
        <f t="shared" si="157"/>
        <v>15</v>
      </c>
      <c r="G839" s="7"/>
      <c r="H839" s="7"/>
      <c r="I839" s="7">
        <v>15</v>
      </c>
      <c r="J839" s="14"/>
      <c r="K839" s="249"/>
      <c r="L839" s="106"/>
    </row>
    <row r="840" spans="1:13" ht="15" x14ac:dyDescent="0.25">
      <c r="A840" s="386"/>
      <c r="B840" s="283"/>
      <c r="C840" s="393"/>
      <c r="D840" s="261"/>
      <c r="E840" s="222">
        <v>2019</v>
      </c>
      <c r="F840" s="156">
        <f t="shared" si="157"/>
        <v>4.5</v>
      </c>
      <c r="G840" s="7"/>
      <c r="H840" s="7"/>
      <c r="I840" s="7">
        <f>15.5-11</f>
        <v>4.5</v>
      </c>
      <c r="J840" s="14"/>
      <c r="K840" s="249"/>
      <c r="L840" s="99"/>
    </row>
    <row r="841" spans="1:13" ht="15" x14ac:dyDescent="0.25">
      <c r="A841" s="386"/>
      <c r="B841" s="283"/>
      <c r="C841" s="393"/>
      <c r="D841" s="261"/>
      <c r="E841" s="222">
        <v>2020</v>
      </c>
      <c r="F841" s="156">
        <f t="shared" si="157"/>
        <v>0</v>
      </c>
      <c r="G841" s="7"/>
      <c r="H841" s="7"/>
      <c r="I841" s="7">
        <f>7-7</f>
        <v>0</v>
      </c>
      <c r="J841" s="14"/>
      <c r="K841" s="249"/>
    </row>
    <row r="842" spans="1:13" ht="15" x14ac:dyDescent="0.25">
      <c r="A842" s="386"/>
      <c r="B842" s="283"/>
      <c r="C842" s="393"/>
      <c r="D842" s="261"/>
      <c r="E842" s="222">
        <v>2021</v>
      </c>
      <c r="F842" s="156">
        <f t="shared" ref="F842:F846" si="158">SUM(G842:I842)</f>
        <v>8</v>
      </c>
      <c r="G842" s="7"/>
      <c r="H842" s="7"/>
      <c r="I842" s="7">
        <f>7-7+8</f>
        <v>8</v>
      </c>
      <c r="J842" s="14"/>
      <c r="K842" s="249"/>
    </row>
    <row r="843" spans="1:13" ht="15" x14ac:dyDescent="0.25">
      <c r="A843" s="386"/>
      <c r="B843" s="283"/>
      <c r="C843" s="393"/>
      <c r="D843" s="261"/>
      <c r="E843" s="222">
        <v>2022</v>
      </c>
      <c r="F843" s="156">
        <f t="shared" si="158"/>
        <v>0</v>
      </c>
      <c r="G843" s="7"/>
      <c r="H843" s="7"/>
      <c r="I843" s="7">
        <f>7-7</f>
        <v>0</v>
      </c>
      <c r="J843" s="14"/>
      <c r="K843" s="249"/>
      <c r="L843" s="99"/>
    </row>
    <row r="844" spans="1:13" ht="15" x14ac:dyDescent="0.25">
      <c r="A844" s="386"/>
      <c r="B844" s="283"/>
      <c r="C844" s="393"/>
      <c r="D844" s="261"/>
      <c r="E844" s="222">
        <v>2023</v>
      </c>
      <c r="F844" s="156">
        <f t="shared" si="158"/>
        <v>0</v>
      </c>
      <c r="G844" s="7"/>
      <c r="H844" s="7"/>
      <c r="I844" s="7">
        <f>7-7</f>
        <v>0</v>
      </c>
      <c r="J844" s="14"/>
      <c r="K844" s="249"/>
      <c r="L844" s="106"/>
    </row>
    <row r="845" spans="1:13" ht="15" x14ac:dyDescent="0.25">
      <c r="A845" s="386"/>
      <c r="B845" s="283"/>
      <c r="C845" s="393"/>
      <c r="D845" s="261"/>
      <c r="E845" s="222">
        <v>2024</v>
      </c>
      <c r="F845" s="156">
        <f t="shared" si="158"/>
        <v>7</v>
      </c>
      <c r="G845" s="7"/>
      <c r="H845" s="7"/>
      <c r="I845" s="7">
        <v>7</v>
      </c>
      <c r="J845" s="14"/>
      <c r="K845" s="249"/>
      <c r="L845" s="99"/>
    </row>
    <row r="846" spans="1:13" ht="15" x14ac:dyDescent="0.25">
      <c r="A846" s="386"/>
      <c r="B846" s="283"/>
      <c r="C846" s="393"/>
      <c r="D846" s="261"/>
      <c r="E846" s="222">
        <v>2025</v>
      </c>
      <c r="F846" s="156">
        <f t="shared" si="158"/>
        <v>7</v>
      </c>
      <c r="G846" s="7"/>
      <c r="H846" s="7"/>
      <c r="I846" s="7">
        <v>7</v>
      </c>
      <c r="J846" s="14"/>
      <c r="K846" s="249"/>
    </row>
    <row r="847" spans="1:13" ht="14.25" x14ac:dyDescent="0.2">
      <c r="A847" s="386"/>
      <c r="B847" s="283"/>
      <c r="C847" s="393"/>
      <c r="D847" s="277"/>
      <c r="E847" s="18" t="s">
        <v>18</v>
      </c>
      <c r="F847" s="140">
        <f>SUM(F836:F846)</f>
        <v>80.3</v>
      </c>
      <c r="G847" s="8"/>
      <c r="H847" s="8"/>
      <c r="I847" s="8">
        <f>SUM(I836:I846)</f>
        <v>80.3</v>
      </c>
      <c r="J847" s="14"/>
      <c r="K847" s="249"/>
    </row>
    <row r="848" spans="1:13" ht="14.25" customHeight="1" thickBot="1" x14ac:dyDescent="0.25">
      <c r="A848" s="387" t="s">
        <v>186</v>
      </c>
      <c r="B848" s="380"/>
      <c r="C848" s="380"/>
      <c r="D848" s="380"/>
      <c r="E848" s="6" t="s">
        <v>395</v>
      </c>
      <c r="F848" s="146">
        <f>SUM(G848:I848)</f>
        <v>134.80000000000001</v>
      </c>
      <c r="G848" s="146"/>
      <c r="H848" s="146">
        <f>H847+H835</f>
        <v>0</v>
      </c>
      <c r="I848" s="146">
        <f>I847+I835</f>
        <v>134.80000000000001</v>
      </c>
      <c r="J848" s="17"/>
      <c r="K848" s="216"/>
      <c r="L848" s="126"/>
      <c r="M848" s="127"/>
    </row>
    <row r="849" spans="1:35" ht="15" thickBot="1" x14ac:dyDescent="0.25">
      <c r="A849" s="287" t="s">
        <v>200</v>
      </c>
      <c r="B849" s="283"/>
      <c r="C849" s="283"/>
      <c r="D849" s="283"/>
      <c r="E849" s="283"/>
      <c r="F849" s="283"/>
      <c r="G849" s="283"/>
      <c r="H849" s="283"/>
      <c r="I849" s="283"/>
      <c r="J849" s="283"/>
      <c r="K849" s="283"/>
      <c r="L849" s="63"/>
      <c r="M849" s="63"/>
      <c r="N849" s="63"/>
      <c r="O849" s="63"/>
      <c r="P849" s="63"/>
      <c r="Q849" s="63"/>
      <c r="R849" s="63"/>
      <c r="S849" s="63"/>
      <c r="T849" s="63"/>
      <c r="U849" s="63"/>
      <c r="V849" s="63"/>
      <c r="W849" s="63"/>
      <c r="X849" s="63"/>
      <c r="Y849" s="63"/>
      <c r="Z849" s="63"/>
      <c r="AA849" s="63"/>
      <c r="AB849" s="63"/>
      <c r="AC849" s="63"/>
      <c r="AD849" s="63"/>
      <c r="AE849" s="63"/>
      <c r="AF849" s="63"/>
      <c r="AG849" s="63"/>
      <c r="AH849" s="63"/>
      <c r="AI849" s="64"/>
    </row>
    <row r="850" spans="1:35" ht="15" thickBot="1" x14ac:dyDescent="0.25">
      <c r="A850" s="288" t="s">
        <v>95</v>
      </c>
      <c r="B850" s="289"/>
      <c r="C850" s="289"/>
      <c r="D850" s="289"/>
      <c r="E850" s="289"/>
      <c r="F850" s="289"/>
      <c r="G850" s="289"/>
      <c r="H850" s="289"/>
      <c r="I850" s="289"/>
      <c r="J850" s="289"/>
      <c r="K850" s="289"/>
      <c r="L850" s="75"/>
      <c r="M850" s="75"/>
      <c r="N850" s="75"/>
      <c r="O850" s="75"/>
      <c r="P850" s="75"/>
      <c r="Q850" s="75"/>
      <c r="R850" s="75"/>
      <c r="S850" s="75"/>
      <c r="T850" s="75"/>
      <c r="U850" s="75"/>
      <c r="V850" s="75"/>
      <c r="W850" s="75"/>
      <c r="X850" s="75"/>
      <c r="Y850" s="75"/>
      <c r="Z850" s="75"/>
      <c r="AA850" s="75"/>
      <c r="AB850" s="75"/>
      <c r="AC850" s="75"/>
      <c r="AD850" s="75"/>
      <c r="AE850" s="75"/>
      <c r="AF850" s="75"/>
      <c r="AG850" s="75"/>
      <c r="AH850" s="75"/>
      <c r="AI850" s="76"/>
    </row>
    <row r="851" spans="1:35" ht="12.75" customHeight="1" x14ac:dyDescent="0.25">
      <c r="A851" s="394" t="s">
        <v>96</v>
      </c>
      <c r="B851" s="258" t="s">
        <v>427</v>
      </c>
      <c r="C851" s="260" t="s">
        <v>394</v>
      </c>
      <c r="D851" s="260" t="s">
        <v>452</v>
      </c>
      <c r="E851" s="222">
        <v>2015</v>
      </c>
      <c r="F851" s="156">
        <f t="shared" ref="F851:F856" si="159">SUM(G851:I851)</f>
        <v>230</v>
      </c>
      <c r="G851" s="7"/>
      <c r="H851" s="7"/>
      <c r="I851" s="7">
        <v>230</v>
      </c>
      <c r="J851" s="14"/>
      <c r="K851" s="260" t="s">
        <v>171</v>
      </c>
    </row>
    <row r="852" spans="1:35" ht="15" x14ac:dyDescent="0.25">
      <c r="A852" s="395"/>
      <c r="B852" s="283"/>
      <c r="C852" s="393"/>
      <c r="D852" s="284"/>
      <c r="E852" s="222">
        <v>2016</v>
      </c>
      <c r="F852" s="156">
        <f t="shared" si="159"/>
        <v>245</v>
      </c>
      <c r="G852" s="7"/>
      <c r="H852" s="7"/>
      <c r="I852" s="7">
        <v>245</v>
      </c>
      <c r="J852" s="14"/>
      <c r="K852" s="260"/>
    </row>
    <row r="853" spans="1:35" ht="15" x14ac:dyDescent="0.25">
      <c r="A853" s="395"/>
      <c r="B853" s="283"/>
      <c r="C853" s="393"/>
      <c r="D853" s="284"/>
      <c r="E853" s="222">
        <v>2017</v>
      </c>
      <c r="F853" s="156">
        <f t="shared" si="159"/>
        <v>261.3</v>
      </c>
      <c r="G853" s="7"/>
      <c r="H853" s="7"/>
      <c r="I853" s="7">
        <f>210+51.3</f>
        <v>261.3</v>
      </c>
      <c r="J853" s="14"/>
      <c r="K853" s="260"/>
      <c r="L853" s="99"/>
    </row>
    <row r="854" spans="1:35" ht="15" x14ac:dyDescent="0.25">
      <c r="A854" s="395"/>
      <c r="B854" s="283"/>
      <c r="C854" s="393"/>
      <c r="D854" s="284"/>
      <c r="E854" s="222">
        <v>2018</v>
      </c>
      <c r="F854" s="156">
        <f t="shared" si="159"/>
        <v>118.9</v>
      </c>
      <c r="G854" s="7"/>
      <c r="H854" s="7"/>
      <c r="I854" s="7">
        <v>118.9</v>
      </c>
      <c r="J854" s="14"/>
      <c r="K854" s="260"/>
      <c r="L854" s="106"/>
    </row>
    <row r="855" spans="1:35" ht="15" x14ac:dyDescent="0.25">
      <c r="A855" s="395"/>
      <c r="B855" s="283"/>
      <c r="C855" s="393"/>
      <c r="D855" s="284"/>
      <c r="E855" s="222">
        <v>2019</v>
      </c>
      <c r="F855" s="156">
        <f t="shared" si="159"/>
        <v>324</v>
      </c>
      <c r="G855" s="7"/>
      <c r="H855" s="7"/>
      <c r="I855" s="7">
        <f>310+14</f>
        <v>324</v>
      </c>
      <c r="J855" s="14"/>
      <c r="K855" s="260"/>
      <c r="L855" s="99"/>
    </row>
    <row r="856" spans="1:35" ht="15" x14ac:dyDescent="0.25">
      <c r="A856" s="395"/>
      <c r="B856" s="283"/>
      <c r="C856" s="393"/>
      <c r="D856" s="284"/>
      <c r="E856" s="222">
        <v>2020</v>
      </c>
      <c r="F856" s="156">
        <f t="shared" si="159"/>
        <v>300.10000000000002</v>
      </c>
      <c r="G856" s="7"/>
      <c r="H856" s="7"/>
      <c r="I856" s="7">
        <f>250+50.1</f>
        <v>300.10000000000002</v>
      </c>
      <c r="J856" s="14"/>
      <c r="K856" s="260"/>
    </row>
    <row r="857" spans="1:35" ht="15" x14ac:dyDescent="0.25">
      <c r="A857" s="395"/>
      <c r="B857" s="283"/>
      <c r="C857" s="393"/>
      <c r="D857" s="284"/>
      <c r="E857" s="222">
        <v>2021</v>
      </c>
      <c r="F857" s="156">
        <f t="shared" ref="F857:F858" si="160">SUM(G857:I857)</f>
        <v>320</v>
      </c>
      <c r="G857" s="7"/>
      <c r="H857" s="7"/>
      <c r="I857" s="7">
        <v>320</v>
      </c>
      <c r="J857" s="14"/>
      <c r="K857" s="260"/>
    </row>
    <row r="858" spans="1:35" ht="15" x14ac:dyDescent="0.25">
      <c r="A858" s="395"/>
      <c r="B858" s="283"/>
      <c r="C858" s="393"/>
      <c r="D858" s="284"/>
      <c r="E858" s="228">
        <v>2022</v>
      </c>
      <c r="F858" s="156">
        <f t="shared" si="160"/>
        <v>0</v>
      </c>
      <c r="G858" s="7"/>
      <c r="H858" s="7"/>
      <c r="I858" s="7">
        <v>0</v>
      </c>
      <c r="J858" s="14"/>
      <c r="K858" s="260"/>
    </row>
    <row r="859" spans="1:35" ht="15" x14ac:dyDescent="0.25">
      <c r="A859" s="395"/>
      <c r="B859" s="283"/>
      <c r="C859" s="393"/>
      <c r="D859" s="284"/>
      <c r="E859" s="228">
        <v>2023</v>
      </c>
      <c r="F859" s="156">
        <f t="shared" ref="F859" si="161">SUM(G859:I859)</f>
        <v>0</v>
      </c>
      <c r="G859" s="7"/>
      <c r="H859" s="7"/>
      <c r="I859" s="7">
        <v>0</v>
      </c>
      <c r="J859" s="14"/>
      <c r="K859" s="260"/>
    </row>
    <row r="860" spans="1:35" ht="29.25" customHeight="1" x14ac:dyDescent="0.2">
      <c r="A860" s="395"/>
      <c r="B860" s="283"/>
      <c r="C860" s="393"/>
      <c r="D860" s="284"/>
      <c r="E860" s="18" t="s">
        <v>18</v>
      </c>
      <c r="F860" s="140">
        <f>SUM(F851:F857)</f>
        <v>1799.2999999999997</v>
      </c>
      <c r="G860" s="8"/>
      <c r="H860" s="8"/>
      <c r="I860" s="8">
        <f>SUM(I851:I857)</f>
        <v>1799.2999999999997</v>
      </c>
      <c r="J860" s="14"/>
      <c r="K860" s="260"/>
    </row>
    <row r="861" spans="1:35" ht="15" x14ac:dyDescent="0.25">
      <c r="A861" s="385" t="s">
        <v>282</v>
      </c>
      <c r="B861" s="258" t="s">
        <v>211</v>
      </c>
      <c r="C861" s="260" t="s">
        <v>394</v>
      </c>
      <c r="D861" s="260" t="s">
        <v>452</v>
      </c>
      <c r="E861" s="222">
        <v>2015</v>
      </c>
      <c r="F861" s="156">
        <f t="shared" ref="F861:F866" si="162">SUM(G861:I861)</f>
        <v>80</v>
      </c>
      <c r="G861" s="7"/>
      <c r="H861" s="7"/>
      <c r="I861" s="7">
        <v>80</v>
      </c>
      <c r="J861" s="14"/>
      <c r="K861" s="260"/>
    </row>
    <row r="862" spans="1:35" ht="15" x14ac:dyDescent="0.25">
      <c r="A862" s="386"/>
      <c r="B862" s="283"/>
      <c r="C862" s="393"/>
      <c r="D862" s="284"/>
      <c r="E862" s="222">
        <v>2016</v>
      </c>
      <c r="F862" s="156">
        <f t="shared" si="162"/>
        <v>85</v>
      </c>
      <c r="G862" s="7"/>
      <c r="H862" s="7"/>
      <c r="I862" s="7">
        <v>85</v>
      </c>
      <c r="J862" s="14"/>
      <c r="K862" s="260"/>
    </row>
    <row r="863" spans="1:35" ht="15" x14ac:dyDescent="0.25">
      <c r="A863" s="386"/>
      <c r="B863" s="283"/>
      <c r="C863" s="393"/>
      <c r="D863" s="284"/>
      <c r="E863" s="222">
        <v>2017</v>
      </c>
      <c r="F863" s="156">
        <f t="shared" si="162"/>
        <v>60</v>
      </c>
      <c r="G863" s="7"/>
      <c r="H863" s="7"/>
      <c r="I863" s="7">
        <v>60</v>
      </c>
      <c r="J863" s="14"/>
      <c r="K863" s="260"/>
      <c r="L863" s="106"/>
    </row>
    <row r="864" spans="1:35" ht="15" x14ac:dyDescent="0.25">
      <c r="A864" s="386"/>
      <c r="B864" s="283"/>
      <c r="C864" s="393"/>
      <c r="D864" s="284"/>
      <c r="E864" s="222">
        <v>2018</v>
      </c>
      <c r="F864" s="156">
        <f t="shared" si="162"/>
        <v>95</v>
      </c>
      <c r="G864" s="7"/>
      <c r="H864" s="7"/>
      <c r="I864" s="7">
        <v>95</v>
      </c>
      <c r="J864" s="14"/>
      <c r="K864" s="260"/>
      <c r="L864" s="99"/>
    </row>
    <row r="865" spans="1:12" ht="15" x14ac:dyDescent="0.25">
      <c r="A865" s="386"/>
      <c r="B865" s="283"/>
      <c r="C865" s="393"/>
      <c r="D865" s="284"/>
      <c r="E865" s="222">
        <v>2019</v>
      </c>
      <c r="F865" s="156">
        <f t="shared" si="162"/>
        <v>0</v>
      </c>
      <c r="G865" s="7"/>
      <c r="H865" s="7"/>
      <c r="I865" s="7">
        <v>0</v>
      </c>
      <c r="J865" s="14"/>
      <c r="K865" s="260"/>
      <c r="L865" s="99"/>
    </row>
    <row r="866" spans="1:12" ht="15" x14ac:dyDescent="0.25">
      <c r="A866" s="386"/>
      <c r="B866" s="283"/>
      <c r="C866" s="393"/>
      <c r="D866" s="284"/>
      <c r="E866" s="222">
        <v>2020</v>
      </c>
      <c r="F866" s="156">
        <f t="shared" si="162"/>
        <v>0</v>
      </c>
      <c r="G866" s="7"/>
      <c r="H866" s="7"/>
      <c r="I866" s="7">
        <v>0</v>
      </c>
      <c r="J866" s="14"/>
      <c r="K866" s="260"/>
    </row>
    <row r="867" spans="1:12" ht="15" x14ac:dyDescent="0.25">
      <c r="A867" s="386"/>
      <c r="B867" s="283"/>
      <c r="C867" s="393"/>
      <c r="D867" s="284"/>
      <c r="E867" s="222">
        <v>2021</v>
      </c>
      <c r="F867" s="156">
        <f t="shared" ref="F867" si="163">SUM(G867:I867)</f>
        <v>0</v>
      </c>
      <c r="G867" s="7"/>
      <c r="H867" s="7"/>
      <c r="I867" s="7">
        <v>0</v>
      </c>
      <c r="J867" s="14"/>
      <c r="K867" s="260"/>
    </row>
    <row r="868" spans="1:12" ht="25.5" customHeight="1" x14ac:dyDescent="0.2">
      <c r="A868" s="386"/>
      <c r="B868" s="283"/>
      <c r="C868" s="393"/>
      <c r="D868" s="284"/>
      <c r="E868" s="18" t="s">
        <v>18</v>
      </c>
      <c r="F868" s="140">
        <f>SUM(F861:F866)</f>
        <v>320</v>
      </c>
      <c r="G868" s="8"/>
      <c r="H868" s="8"/>
      <c r="I868" s="8">
        <f>SUM(I861:I866)</f>
        <v>320</v>
      </c>
      <c r="J868" s="14"/>
      <c r="K868" s="260"/>
    </row>
    <row r="869" spans="1:12" ht="15" x14ac:dyDescent="0.25">
      <c r="A869" s="400" t="s">
        <v>283</v>
      </c>
      <c r="B869" s="530" t="s">
        <v>210</v>
      </c>
      <c r="C869" s="250" t="s">
        <v>395</v>
      </c>
      <c r="D869" s="249" t="s">
        <v>452</v>
      </c>
      <c r="E869" s="208">
        <v>2015</v>
      </c>
      <c r="F869" s="160">
        <f t="shared" ref="F869:F874" si="164">SUM(G869:I869)</f>
        <v>47</v>
      </c>
      <c r="G869" s="143"/>
      <c r="H869" s="143"/>
      <c r="I869" s="143">
        <v>47</v>
      </c>
      <c r="J869" s="188"/>
      <c r="K869" s="249" t="s">
        <v>225</v>
      </c>
    </row>
    <row r="870" spans="1:12" ht="15" x14ac:dyDescent="0.25">
      <c r="A870" s="389"/>
      <c r="B870" s="530"/>
      <c r="C870" s="393"/>
      <c r="D870" s="261"/>
      <c r="E870" s="222">
        <v>2016</v>
      </c>
      <c r="F870" s="157">
        <f t="shared" si="164"/>
        <v>50</v>
      </c>
      <c r="G870" s="7"/>
      <c r="H870" s="7"/>
      <c r="I870" s="7">
        <v>50</v>
      </c>
      <c r="J870" s="81"/>
      <c r="K870" s="249"/>
    </row>
    <row r="871" spans="1:12" ht="15" x14ac:dyDescent="0.25">
      <c r="A871" s="389"/>
      <c r="B871" s="530"/>
      <c r="C871" s="393"/>
      <c r="D871" s="261"/>
      <c r="E871" s="222">
        <v>2017</v>
      </c>
      <c r="F871" s="157">
        <f t="shared" si="164"/>
        <v>40</v>
      </c>
      <c r="G871" s="7"/>
      <c r="H871" s="7"/>
      <c r="I871" s="7">
        <v>40</v>
      </c>
      <c r="J871" s="81"/>
      <c r="K871" s="249"/>
      <c r="L871" s="99"/>
    </row>
    <row r="872" spans="1:12" ht="15" x14ac:dyDescent="0.25">
      <c r="A872" s="389"/>
      <c r="B872" s="530"/>
      <c r="C872" s="393"/>
      <c r="D872" s="261"/>
      <c r="E872" s="222">
        <v>2018</v>
      </c>
      <c r="F872" s="157">
        <f t="shared" si="164"/>
        <v>56</v>
      </c>
      <c r="G872" s="7"/>
      <c r="H872" s="7"/>
      <c r="I872" s="7">
        <v>56</v>
      </c>
      <c r="J872" s="81"/>
      <c r="K872" s="249"/>
      <c r="L872" s="99"/>
    </row>
    <row r="873" spans="1:12" ht="15" x14ac:dyDescent="0.25">
      <c r="A873" s="389"/>
      <c r="B873" s="530"/>
      <c r="C873" s="393"/>
      <c r="D873" s="261"/>
      <c r="E873" s="222">
        <v>2019</v>
      </c>
      <c r="F873" s="157">
        <f t="shared" si="164"/>
        <v>59</v>
      </c>
      <c r="G873" s="7"/>
      <c r="H873" s="7"/>
      <c r="I873" s="7">
        <v>59</v>
      </c>
      <c r="J873" s="81"/>
      <c r="K873" s="249"/>
      <c r="L873" s="106"/>
    </row>
    <row r="874" spans="1:12" ht="15" x14ac:dyDescent="0.25">
      <c r="A874" s="389"/>
      <c r="B874" s="530"/>
      <c r="C874" s="393"/>
      <c r="D874" s="261"/>
      <c r="E874" s="222">
        <v>2020</v>
      </c>
      <c r="F874" s="157">
        <f t="shared" si="164"/>
        <v>0</v>
      </c>
      <c r="G874" s="7"/>
      <c r="H874" s="7"/>
      <c r="I874" s="7">
        <f>24-24</f>
        <v>0</v>
      </c>
      <c r="J874" s="81"/>
      <c r="K874" s="249"/>
    </row>
    <row r="875" spans="1:12" ht="15" x14ac:dyDescent="0.25">
      <c r="A875" s="389"/>
      <c r="B875" s="530"/>
      <c r="C875" s="393"/>
      <c r="D875" s="261"/>
      <c r="E875" s="222">
        <v>2021</v>
      </c>
      <c r="F875" s="157">
        <f t="shared" ref="F875:F879" si="165">SUM(G875:I875)</f>
        <v>32</v>
      </c>
      <c r="G875" s="7"/>
      <c r="H875" s="7"/>
      <c r="I875" s="7">
        <v>32</v>
      </c>
      <c r="J875" s="81"/>
      <c r="K875" s="249"/>
    </row>
    <row r="876" spans="1:12" ht="15" x14ac:dyDescent="0.25">
      <c r="A876" s="389"/>
      <c r="B876" s="530"/>
      <c r="C876" s="393"/>
      <c r="D876" s="261"/>
      <c r="E876" s="222">
        <v>2022</v>
      </c>
      <c r="F876" s="157">
        <f t="shared" si="165"/>
        <v>0</v>
      </c>
      <c r="G876" s="7"/>
      <c r="H876" s="7"/>
      <c r="I876" s="7">
        <f>24-24</f>
        <v>0</v>
      </c>
      <c r="J876" s="81"/>
      <c r="K876" s="249"/>
      <c r="L876" s="99"/>
    </row>
    <row r="877" spans="1:12" ht="15" x14ac:dyDescent="0.25">
      <c r="A877" s="389"/>
      <c r="B877" s="530"/>
      <c r="C877" s="393"/>
      <c r="D877" s="261"/>
      <c r="E877" s="222">
        <v>2023</v>
      </c>
      <c r="F877" s="157">
        <f t="shared" si="165"/>
        <v>0</v>
      </c>
      <c r="G877" s="7"/>
      <c r="H877" s="7"/>
      <c r="I877" s="7">
        <f>24-24</f>
        <v>0</v>
      </c>
      <c r="J877" s="81"/>
      <c r="K877" s="249"/>
      <c r="L877" s="99"/>
    </row>
    <row r="878" spans="1:12" ht="15" x14ac:dyDescent="0.25">
      <c r="A878" s="389"/>
      <c r="B878" s="530"/>
      <c r="C878" s="393"/>
      <c r="D878" s="261"/>
      <c r="E878" s="222">
        <v>2024</v>
      </c>
      <c r="F878" s="157">
        <f t="shared" si="165"/>
        <v>24</v>
      </c>
      <c r="G878" s="7"/>
      <c r="H878" s="7"/>
      <c r="I878" s="7">
        <v>24</v>
      </c>
      <c r="J878" s="81"/>
      <c r="K878" s="249"/>
      <c r="L878" s="106"/>
    </row>
    <row r="879" spans="1:12" ht="15" x14ac:dyDescent="0.25">
      <c r="A879" s="389"/>
      <c r="B879" s="530"/>
      <c r="C879" s="393"/>
      <c r="D879" s="261"/>
      <c r="E879" s="222">
        <v>2025</v>
      </c>
      <c r="F879" s="157">
        <f t="shared" si="165"/>
        <v>24</v>
      </c>
      <c r="G879" s="7"/>
      <c r="H879" s="7"/>
      <c r="I879" s="7">
        <v>24</v>
      </c>
      <c r="J879" s="81"/>
      <c r="K879" s="249"/>
    </row>
    <row r="880" spans="1:12" ht="15.75" thickBot="1" x14ac:dyDescent="0.3">
      <c r="A880" s="389"/>
      <c r="B880" s="531"/>
      <c r="C880" s="393"/>
      <c r="D880" s="277"/>
      <c r="E880" s="18" t="s">
        <v>18</v>
      </c>
      <c r="F880" s="159">
        <f>SUM(F869:F879)</f>
        <v>332</v>
      </c>
      <c r="G880" s="7"/>
      <c r="H880" s="7"/>
      <c r="I880" s="8">
        <f>SUM(I869:I879)</f>
        <v>332</v>
      </c>
      <c r="J880" s="81"/>
      <c r="K880" s="249"/>
    </row>
    <row r="881" spans="1:12" ht="15" x14ac:dyDescent="0.25">
      <c r="A881" s="388" t="s">
        <v>284</v>
      </c>
      <c r="B881" s="396" t="s">
        <v>97</v>
      </c>
      <c r="C881" s="260" t="s">
        <v>395</v>
      </c>
      <c r="D881" s="248" t="s">
        <v>452</v>
      </c>
      <c r="E881" s="222">
        <v>2015</v>
      </c>
      <c r="F881" s="157">
        <f t="shared" ref="F881:F886" si="166">SUM(G881:I881)</f>
        <v>40.6</v>
      </c>
      <c r="G881" s="7"/>
      <c r="H881" s="7"/>
      <c r="I881" s="7">
        <v>40.6</v>
      </c>
      <c r="J881" s="14"/>
      <c r="K881" s="249"/>
    </row>
    <row r="882" spans="1:12" ht="15" x14ac:dyDescent="0.25">
      <c r="A882" s="389"/>
      <c r="B882" s="397"/>
      <c r="C882" s="393"/>
      <c r="D882" s="261"/>
      <c r="E882" s="222">
        <v>2016</v>
      </c>
      <c r="F882" s="157">
        <f t="shared" si="166"/>
        <v>50</v>
      </c>
      <c r="G882" s="7"/>
      <c r="H882" s="7"/>
      <c r="I882" s="7">
        <v>50</v>
      </c>
      <c r="J882" s="14"/>
      <c r="K882" s="249"/>
    </row>
    <row r="883" spans="1:12" ht="15" x14ac:dyDescent="0.25">
      <c r="A883" s="389"/>
      <c r="B883" s="397"/>
      <c r="C883" s="393"/>
      <c r="D883" s="261"/>
      <c r="E883" s="222">
        <v>2017</v>
      </c>
      <c r="F883" s="157">
        <f t="shared" si="166"/>
        <v>40</v>
      </c>
      <c r="G883" s="7"/>
      <c r="H883" s="7"/>
      <c r="I883" s="7">
        <v>40</v>
      </c>
      <c r="J883" s="14"/>
      <c r="K883" s="249"/>
      <c r="L883" s="99"/>
    </row>
    <row r="884" spans="1:12" ht="15" x14ac:dyDescent="0.25">
      <c r="A884" s="389"/>
      <c r="B884" s="397"/>
      <c r="C884" s="393"/>
      <c r="D884" s="261"/>
      <c r="E884" s="222">
        <v>2018</v>
      </c>
      <c r="F884" s="157">
        <f t="shared" si="166"/>
        <v>54</v>
      </c>
      <c r="G884" s="7"/>
      <c r="H884" s="7"/>
      <c r="I884" s="7">
        <v>54</v>
      </c>
      <c r="J884" s="14"/>
      <c r="K884" s="249"/>
      <c r="L884" s="99"/>
    </row>
    <row r="885" spans="1:12" ht="15" x14ac:dyDescent="0.25">
      <c r="A885" s="389"/>
      <c r="B885" s="397"/>
      <c r="C885" s="393"/>
      <c r="D885" s="261"/>
      <c r="E885" s="222">
        <v>2019</v>
      </c>
      <c r="F885" s="157">
        <f t="shared" si="166"/>
        <v>56</v>
      </c>
      <c r="G885" s="7"/>
      <c r="H885" s="7"/>
      <c r="I885" s="7">
        <v>56</v>
      </c>
      <c r="J885" s="14"/>
      <c r="K885" s="249"/>
      <c r="L885" s="99"/>
    </row>
    <row r="886" spans="1:12" ht="15" x14ac:dyDescent="0.25">
      <c r="A886" s="389"/>
      <c r="B886" s="397"/>
      <c r="C886" s="393"/>
      <c r="D886" s="261"/>
      <c r="E886" s="222">
        <v>2020</v>
      </c>
      <c r="F886" s="157">
        <f t="shared" si="166"/>
        <v>0</v>
      </c>
      <c r="G886" s="7"/>
      <c r="H886" s="7"/>
      <c r="I886" s="7">
        <f>26-26</f>
        <v>0</v>
      </c>
      <c r="J886" s="14"/>
      <c r="K886" s="249"/>
      <c r="L886" s="106"/>
    </row>
    <row r="887" spans="1:12" ht="15" x14ac:dyDescent="0.25">
      <c r="A887" s="389"/>
      <c r="B887" s="397"/>
      <c r="C887" s="393"/>
      <c r="D887" s="261"/>
      <c r="E887" s="222">
        <v>2021</v>
      </c>
      <c r="F887" s="157">
        <f t="shared" ref="F887:F891" si="167">SUM(G887:I887)</f>
        <v>28</v>
      </c>
      <c r="G887" s="7"/>
      <c r="H887" s="7"/>
      <c r="I887" s="7">
        <v>28</v>
      </c>
      <c r="J887" s="14"/>
      <c r="K887" s="249"/>
    </row>
    <row r="888" spans="1:12" ht="15" x14ac:dyDescent="0.25">
      <c r="A888" s="389"/>
      <c r="B888" s="397"/>
      <c r="C888" s="393"/>
      <c r="D888" s="261"/>
      <c r="E888" s="222">
        <v>2022</v>
      </c>
      <c r="F888" s="157">
        <f t="shared" si="167"/>
        <v>0</v>
      </c>
      <c r="G888" s="7"/>
      <c r="H888" s="7"/>
      <c r="I888" s="7">
        <f>26-26</f>
        <v>0</v>
      </c>
      <c r="J888" s="14"/>
      <c r="K888" s="249"/>
      <c r="L888" s="99"/>
    </row>
    <row r="889" spans="1:12" ht="15" x14ac:dyDescent="0.25">
      <c r="A889" s="389"/>
      <c r="B889" s="397"/>
      <c r="C889" s="393"/>
      <c r="D889" s="261"/>
      <c r="E889" s="222">
        <v>2023</v>
      </c>
      <c r="F889" s="157">
        <f t="shared" si="167"/>
        <v>0</v>
      </c>
      <c r="G889" s="7"/>
      <c r="H889" s="7"/>
      <c r="I889" s="7">
        <f>26-26</f>
        <v>0</v>
      </c>
      <c r="J889" s="14"/>
      <c r="K889" s="249"/>
      <c r="L889" s="99"/>
    </row>
    <row r="890" spans="1:12" ht="15" x14ac:dyDescent="0.25">
      <c r="A890" s="389"/>
      <c r="B890" s="397"/>
      <c r="C890" s="393"/>
      <c r="D890" s="261"/>
      <c r="E890" s="222">
        <v>2024</v>
      </c>
      <c r="F890" s="157">
        <f t="shared" si="167"/>
        <v>26</v>
      </c>
      <c r="G890" s="7"/>
      <c r="H890" s="7"/>
      <c r="I890" s="7">
        <v>26</v>
      </c>
      <c r="J890" s="14"/>
      <c r="K890" s="249"/>
      <c r="L890" s="99"/>
    </row>
    <row r="891" spans="1:12" ht="15" x14ac:dyDescent="0.25">
      <c r="A891" s="389"/>
      <c r="B891" s="397"/>
      <c r="C891" s="393"/>
      <c r="D891" s="261"/>
      <c r="E891" s="222">
        <v>2025</v>
      </c>
      <c r="F891" s="157">
        <f t="shared" si="167"/>
        <v>26</v>
      </c>
      <c r="G891" s="7"/>
      <c r="H891" s="7"/>
      <c r="I891" s="7">
        <v>26</v>
      </c>
      <c r="J891" s="14"/>
      <c r="K891" s="249"/>
      <c r="L891" s="106"/>
    </row>
    <row r="892" spans="1:12" ht="15" thickBot="1" x14ac:dyDescent="0.25">
      <c r="A892" s="389"/>
      <c r="B892" s="399"/>
      <c r="C892" s="393"/>
      <c r="D892" s="277"/>
      <c r="E892" s="18" t="s">
        <v>18</v>
      </c>
      <c r="F892" s="159">
        <f>SUM(F881:F891)</f>
        <v>320.60000000000002</v>
      </c>
      <c r="G892" s="8"/>
      <c r="H892" s="8"/>
      <c r="I892" s="8">
        <f>SUM(I881:I891)</f>
        <v>320.60000000000002</v>
      </c>
      <c r="J892" s="14"/>
      <c r="K892" s="249"/>
    </row>
    <row r="893" spans="1:12" ht="15" x14ac:dyDescent="0.25">
      <c r="A893" s="388" t="s">
        <v>285</v>
      </c>
      <c r="B893" s="396" t="s">
        <v>98</v>
      </c>
      <c r="C893" s="260" t="s">
        <v>61</v>
      </c>
      <c r="D893" s="248" t="s">
        <v>452</v>
      </c>
      <c r="E893" s="222">
        <v>2015</v>
      </c>
      <c r="F893" s="157">
        <f t="shared" ref="F893:F898" si="168">SUM(G893:I893)</f>
        <v>5.0999999999999996</v>
      </c>
      <c r="G893" s="7"/>
      <c r="H893" s="7"/>
      <c r="I893" s="7">
        <v>5.0999999999999996</v>
      </c>
      <c r="J893" s="14"/>
      <c r="K893" s="249"/>
    </row>
    <row r="894" spans="1:12" ht="15" x14ac:dyDescent="0.25">
      <c r="A894" s="389"/>
      <c r="B894" s="397"/>
      <c r="C894" s="393"/>
      <c r="D894" s="261"/>
      <c r="E894" s="222">
        <v>2016</v>
      </c>
      <c r="F894" s="157">
        <f t="shared" si="168"/>
        <v>5.3</v>
      </c>
      <c r="G894" s="7"/>
      <c r="H894" s="7"/>
      <c r="I894" s="7">
        <v>5.3</v>
      </c>
      <c r="J894" s="14"/>
      <c r="K894" s="249"/>
    </row>
    <row r="895" spans="1:12" ht="15" x14ac:dyDescent="0.25">
      <c r="A895" s="389"/>
      <c r="B895" s="397"/>
      <c r="C895" s="393"/>
      <c r="D895" s="261"/>
      <c r="E895" s="222">
        <v>2017</v>
      </c>
      <c r="F895" s="157">
        <f t="shared" si="168"/>
        <v>5</v>
      </c>
      <c r="G895" s="7"/>
      <c r="H895" s="7"/>
      <c r="I895" s="7">
        <v>5</v>
      </c>
      <c r="J895" s="14"/>
      <c r="K895" s="249"/>
      <c r="L895" s="99"/>
    </row>
    <row r="896" spans="1:12" ht="15" x14ac:dyDescent="0.25">
      <c r="A896" s="389"/>
      <c r="B896" s="397"/>
      <c r="C896" s="393"/>
      <c r="D896" s="261"/>
      <c r="E896" s="222">
        <v>2018</v>
      </c>
      <c r="F896" s="157">
        <f t="shared" si="168"/>
        <v>0</v>
      </c>
      <c r="G896" s="7"/>
      <c r="H896" s="7"/>
      <c r="I896" s="7">
        <v>0</v>
      </c>
      <c r="J896" s="14"/>
      <c r="K896" s="249"/>
      <c r="L896" s="106"/>
    </row>
    <row r="897" spans="1:13" ht="15" x14ac:dyDescent="0.25">
      <c r="A897" s="389"/>
      <c r="B897" s="397"/>
      <c r="C897" s="393"/>
      <c r="D897" s="261"/>
      <c r="E897" s="222">
        <v>2019</v>
      </c>
      <c r="F897" s="157">
        <f t="shared" si="168"/>
        <v>0</v>
      </c>
      <c r="G897" s="7"/>
      <c r="H897" s="7"/>
      <c r="I897" s="7">
        <v>0</v>
      </c>
      <c r="J897" s="14"/>
      <c r="K897" s="249"/>
      <c r="L897" s="99"/>
    </row>
    <row r="898" spans="1:13" ht="15" x14ac:dyDescent="0.25">
      <c r="A898" s="389"/>
      <c r="B898" s="397"/>
      <c r="C898" s="393"/>
      <c r="D898" s="261"/>
      <c r="E898" s="222">
        <v>2020</v>
      </c>
      <c r="F898" s="157">
        <f t="shared" si="168"/>
        <v>0</v>
      </c>
      <c r="G898" s="7"/>
      <c r="H898" s="7"/>
      <c r="I898" s="7">
        <v>0</v>
      </c>
      <c r="J898" s="14"/>
      <c r="K898" s="249"/>
    </row>
    <row r="899" spans="1:13" ht="41.25" customHeight="1" x14ac:dyDescent="0.2">
      <c r="A899" s="389"/>
      <c r="B899" s="397"/>
      <c r="C899" s="398"/>
      <c r="D899" s="277"/>
      <c r="E899" s="18" t="s">
        <v>18</v>
      </c>
      <c r="F899" s="159">
        <f>SUM(F893:F898)</f>
        <v>15.399999999999999</v>
      </c>
      <c r="G899" s="8"/>
      <c r="H899" s="8"/>
      <c r="I899" s="8">
        <f>SUM(I893:I898)</f>
        <v>15.399999999999999</v>
      </c>
      <c r="J899" s="14"/>
      <c r="K899" s="249"/>
    </row>
    <row r="900" spans="1:13" ht="15" x14ac:dyDescent="0.25">
      <c r="A900" s="388" t="s">
        <v>286</v>
      </c>
      <c r="B900" s="258" t="s">
        <v>99</v>
      </c>
      <c r="C900" s="260" t="s">
        <v>61</v>
      </c>
      <c r="D900" s="248" t="s">
        <v>452</v>
      </c>
      <c r="E900" s="222">
        <v>2015</v>
      </c>
      <c r="F900" s="157">
        <f t="shared" ref="F900:F905" si="169">SUM(G900:I900)</f>
        <v>4.5</v>
      </c>
      <c r="G900" s="7"/>
      <c r="H900" s="7"/>
      <c r="I900" s="7">
        <v>4.5</v>
      </c>
      <c r="J900" s="14"/>
      <c r="K900" s="249"/>
    </row>
    <row r="901" spans="1:13" ht="15" x14ac:dyDescent="0.25">
      <c r="A901" s="389"/>
      <c r="B901" s="283"/>
      <c r="C901" s="393"/>
      <c r="D901" s="261"/>
      <c r="E901" s="222">
        <v>2016</v>
      </c>
      <c r="F901" s="157">
        <f t="shared" si="169"/>
        <v>4.5999999999999996</v>
      </c>
      <c r="G901" s="7"/>
      <c r="H901" s="7"/>
      <c r="I901" s="7">
        <v>4.5999999999999996</v>
      </c>
      <c r="J901" s="14"/>
      <c r="K901" s="249"/>
    </row>
    <row r="902" spans="1:13" ht="15" x14ac:dyDescent="0.25">
      <c r="A902" s="389"/>
      <c r="B902" s="283"/>
      <c r="C902" s="393"/>
      <c r="D902" s="261"/>
      <c r="E902" s="222">
        <v>2017</v>
      </c>
      <c r="F902" s="157">
        <f t="shared" si="169"/>
        <v>4</v>
      </c>
      <c r="G902" s="7"/>
      <c r="H902" s="7"/>
      <c r="I902" s="7">
        <v>4</v>
      </c>
      <c r="J902" s="14"/>
      <c r="K902" s="249"/>
      <c r="L902" s="106"/>
    </row>
    <row r="903" spans="1:13" ht="15" x14ac:dyDescent="0.25">
      <c r="A903" s="389"/>
      <c r="B903" s="283"/>
      <c r="C903" s="393"/>
      <c r="D903" s="261"/>
      <c r="E903" s="222">
        <v>2018</v>
      </c>
      <c r="F903" s="157">
        <f t="shared" si="169"/>
        <v>0</v>
      </c>
      <c r="G903" s="7"/>
      <c r="H903" s="7"/>
      <c r="I903" s="7">
        <v>0</v>
      </c>
      <c r="J903" s="14"/>
      <c r="K903" s="249"/>
      <c r="L903" s="99"/>
    </row>
    <row r="904" spans="1:13" ht="15" x14ac:dyDescent="0.25">
      <c r="A904" s="389"/>
      <c r="B904" s="283"/>
      <c r="C904" s="393"/>
      <c r="D904" s="261"/>
      <c r="E904" s="222">
        <v>2019</v>
      </c>
      <c r="F904" s="157">
        <f t="shared" si="169"/>
        <v>0</v>
      </c>
      <c r="G904" s="7"/>
      <c r="H904" s="7"/>
      <c r="I904" s="7">
        <v>0</v>
      </c>
      <c r="J904" s="14"/>
      <c r="K904" s="249"/>
      <c r="L904" s="99"/>
    </row>
    <row r="905" spans="1:13" ht="15" x14ac:dyDescent="0.25">
      <c r="A905" s="389"/>
      <c r="B905" s="283"/>
      <c r="C905" s="393"/>
      <c r="D905" s="261"/>
      <c r="E905" s="222">
        <v>2020</v>
      </c>
      <c r="F905" s="157">
        <f t="shared" si="169"/>
        <v>0</v>
      </c>
      <c r="G905" s="7"/>
      <c r="H905" s="7"/>
      <c r="I905" s="7">
        <v>0</v>
      </c>
      <c r="J905" s="14"/>
      <c r="K905" s="249"/>
    </row>
    <row r="906" spans="1:13" ht="40.5" customHeight="1" x14ac:dyDescent="0.2">
      <c r="A906" s="389"/>
      <c r="B906" s="283"/>
      <c r="C906" s="393"/>
      <c r="D906" s="277"/>
      <c r="E906" s="18" t="s">
        <v>18</v>
      </c>
      <c r="F906" s="159">
        <f>SUM(F900:F905)</f>
        <v>13.1</v>
      </c>
      <c r="G906" s="8"/>
      <c r="H906" s="8"/>
      <c r="I906" s="8">
        <f>SUM(I900:I905)</f>
        <v>13.1</v>
      </c>
      <c r="J906" s="14"/>
      <c r="K906" s="250"/>
    </row>
    <row r="907" spans="1:13" ht="15" x14ac:dyDescent="0.25">
      <c r="A907" s="388" t="s">
        <v>287</v>
      </c>
      <c r="B907" s="258" t="s">
        <v>0</v>
      </c>
      <c r="C907" s="260" t="s">
        <v>61</v>
      </c>
      <c r="D907" s="248" t="s">
        <v>455</v>
      </c>
      <c r="E907" s="222">
        <v>2015</v>
      </c>
      <c r="F907" s="163"/>
      <c r="G907" s="164"/>
      <c r="H907" s="164"/>
      <c r="I907" s="164"/>
      <c r="J907" s="2"/>
      <c r="K907" s="248" t="s">
        <v>172</v>
      </c>
    </row>
    <row r="908" spans="1:13" ht="15" x14ac:dyDescent="0.25">
      <c r="A908" s="389"/>
      <c r="B908" s="283"/>
      <c r="C908" s="393"/>
      <c r="D908" s="261"/>
      <c r="E908" s="222">
        <v>2016</v>
      </c>
      <c r="F908" s="163"/>
      <c r="G908" s="164"/>
      <c r="H908" s="164"/>
      <c r="I908" s="164"/>
      <c r="J908" s="2"/>
      <c r="K908" s="249"/>
    </row>
    <row r="909" spans="1:13" ht="15" x14ac:dyDescent="0.25">
      <c r="A909" s="389"/>
      <c r="B909" s="283"/>
      <c r="C909" s="393"/>
      <c r="D909" s="261"/>
      <c r="E909" s="222">
        <v>2017</v>
      </c>
      <c r="F909" s="163"/>
      <c r="G909" s="164"/>
      <c r="H909" s="164"/>
      <c r="I909" s="164"/>
      <c r="J909" s="2"/>
      <c r="K909" s="249"/>
    </row>
    <row r="910" spans="1:13" ht="15" x14ac:dyDescent="0.25">
      <c r="A910" s="389"/>
      <c r="B910" s="283"/>
      <c r="C910" s="393"/>
      <c r="D910" s="261"/>
      <c r="E910" s="222">
        <v>2018</v>
      </c>
      <c r="F910" s="163"/>
      <c r="G910" s="164"/>
      <c r="H910" s="164"/>
      <c r="I910" s="164"/>
      <c r="J910" s="2"/>
      <c r="K910" s="249"/>
      <c r="L910" s="135"/>
      <c r="M910" s="127"/>
    </row>
    <row r="911" spans="1:13" ht="15" x14ac:dyDescent="0.25">
      <c r="A911" s="389"/>
      <c r="B911" s="283"/>
      <c r="C911" s="393"/>
      <c r="D911" s="261"/>
      <c r="E911" s="222">
        <v>2019</v>
      </c>
      <c r="F911" s="163"/>
      <c r="G911" s="164"/>
      <c r="H911" s="164"/>
      <c r="I911" s="164"/>
      <c r="J911" s="2"/>
      <c r="K911" s="249"/>
    </row>
    <row r="912" spans="1:13" ht="15" x14ac:dyDescent="0.25">
      <c r="A912" s="389"/>
      <c r="B912" s="283"/>
      <c r="C912" s="393"/>
      <c r="D912" s="261"/>
      <c r="E912" s="222">
        <v>2020</v>
      </c>
      <c r="F912" s="163"/>
      <c r="G912" s="164"/>
      <c r="H912" s="164"/>
      <c r="I912" s="164"/>
      <c r="J912" s="2"/>
      <c r="K912" s="249"/>
    </row>
    <row r="913" spans="1:19" ht="15" x14ac:dyDescent="0.25">
      <c r="A913" s="401"/>
      <c r="B913" s="283"/>
      <c r="C913" s="393"/>
      <c r="D913" s="277"/>
      <c r="E913" s="18" t="s">
        <v>18</v>
      </c>
      <c r="F913" s="163"/>
      <c r="G913" s="164"/>
      <c r="H913" s="164"/>
      <c r="I913" s="164"/>
      <c r="J913" s="2"/>
      <c r="K913" s="250"/>
      <c r="P913" s="99" t="s">
        <v>313</v>
      </c>
    </row>
    <row r="914" spans="1:19" ht="15" customHeight="1" thickBot="1" x14ac:dyDescent="0.25">
      <c r="A914" s="418" t="s">
        <v>188</v>
      </c>
      <c r="B914" s="379"/>
      <c r="C914" s="379"/>
      <c r="D914" s="379"/>
      <c r="E914" s="54" t="s">
        <v>395</v>
      </c>
      <c r="F914" s="140">
        <f>SUM(G914:I914)</f>
        <v>2800.3999999999996</v>
      </c>
      <c r="G914" s="140"/>
      <c r="H914" s="140">
        <f>H906+H899+H892+H880+H868+H860+H913</f>
        <v>0</v>
      </c>
      <c r="I914" s="140">
        <f>I906+I899+I892+I880+I868+I860+I913</f>
        <v>2800.3999999999996</v>
      </c>
      <c r="J914" s="16"/>
      <c r="K914" s="82"/>
      <c r="L914" s="99" t="s">
        <v>311</v>
      </c>
      <c r="N914" s="99" t="s">
        <v>308</v>
      </c>
      <c r="P914" s="99" t="s">
        <v>309</v>
      </c>
      <c r="Q914" s="99" t="s">
        <v>310</v>
      </c>
      <c r="S914" s="99" t="s">
        <v>312</v>
      </c>
    </row>
    <row r="915" spans="1:19" ht="14.25" customHeight="1" thickBot="1" x14ac:dyDescent="0.25">
      <c r="A915" s="254" t="s">
        <v>324</v>
      </c>
      <c r="B915" s="255"/>
      <c r="C915" s="255"/>
      <c r="D915" s="255"/>
      <c r="E915" s="255"/>
      <c r="F915" s="255"/>
      <c r="G915" s="255"/>
      <c r="H915" s="255"/>
      <c r="I915" s="255"/>
      <c r="J915" s="255"/>
      <c r="K915" s="256"/>
      <c r="L915" s="99"/>
      <c r="N915" s="99"/>
      <c r="P915" s="99"/>
      <c r="Q915" s="99"/>
      <c r="S915" s="99"/>
    </row>
    <row r="916" spans="1:19" ht="15" customHeight="1" x14ac:dyDescent="0.25">
      <c r="A916" s="300" t="s">
        <v>146</v>
      </c>
      <c r="B916" s="292" t="s">
        <v>375</v>
      </c>
      <c r="C916" s="260" t="s">
        <v>292</v>
      </c>
      <c r="D916" s="248" t="s">
        <v>449</v>
      </c>
      <c r="E916" s="222">
        <v>2017</v>
      </c>
      <c r="F916" s="142">
        <f>G916+H916+I916+J916</f>
        <v>240.5</v>
      </c>
      <c r="G916" s="140"/>
      <c r="H916" s="140"/>
      <c r="I916" s="142">
        <v>240.5</v>
      </c>
      <c r="J916" s="16"/>
      <c r="K916" s="529" t="s">
        <v>145</v>
      </c>
      <c r="L916" s="106"/>
      <c r="N916" s="99"/>
      <c r="P916" s="99"/>
      <c r="Q916" s="99"/>
      <c r="S916" s="99"/>
    </row>
    <row r="917" spans="1:19" ht="15" customHeight="1" x14ac:dyDescent="0.25">
      <c r="A917" s="257"/>
      <c r="B917" s="258"/>
      <c r="C917" s="393"/>
      <c r="D917" s="261"/>
      <c r="E917" s="222">
        <v>2018</v>
      </c>
      <c r="F917" s="142">
        <f>I917</f>
        <v>0</v>
      </c>
      <c r="G917" s="141"/>
      <c r="H917" s="141"/>
      <c r="I917" s="142">
        <f>100-100</f>
        <v>0</v>
      </c>
      <c r="J917" s="16"/>
      <c r="K917" s="262"/>
      <c r="L917" s="99"/>
      <c r="N917" s="99"/>
      <c r="P917" s="99"/>
      <c r="Q917" s="99"/>
      <c r="S917" s="99"/>
    </row>
    <row r="918" spans="1:19" ht="15" customHeight="1" x14ac:dyDescent="0.25">
      <c r="A918" s="257"/>
      <c r="B918" s="258"/>
      <c r="C918" s="393"/>
      <c r="D918" s="261"/>
      <c r="E918" s="222">
        <v>2019</v>
      </c>
      <c r="F918" s="142">
        <f>I918</f>
        <v>0</v>
      </c>
      <c r="G918" s="142"/>
      <c r="H918" s="142"/>
      <c r="I918" s="142">
        <f>310-310</f>
        <v>0</v>
      </c>
      <c r="J918" s="16"/>
      <c r="K918" s="262"/>
      <c r="L918" s="99"/>
      <c r="N918" s="99"/>
      <c r="P918" s="99"/>
      <c r="Q918" s="99"/>
      <c r="S918" s="99"/>
    </row>
    <row r="919" spans="1:19" ht="15" customHeight="1" x14ac:dyDescent="0.25">
      <c r="A919" s="257"/>
      <c r="B919" s="258"/>
      <c r="C919" s="393"/>
      <c r="D919" s="261"/>
      <c r="E919" s="222">
        <v>2020</v>
      </c>
      <c r="F919" s="142">
        <f t="shared" ref="F919:F924" si="170">I919</f>
        <v>240</v>
      </c>
      <c r="G919" s="140"/>
      <c r="H919" s="140"/>
      <c r="I919" s="156">
        <v>240</v>
      </c>
      <c r="J919" s="16"/>
      <c r="K919" s="262"/>
      <c r="L919" s="99"/>
      <c r="N919" s="99"/>
      <c r="P919" s="99"/>
      <c r="Q919" s="99"/>
      <c r="S919" s="99"/>
    </row>
    <row r="920" spans="1:19" ht="15" customHeight="1" x14ac:dyDescent="0.25">
      <c r="A920" s="257"/>
      <c r="B920" s="258"/>
      <c r="C920" s="393"/>
      <c r="D920" s="261"/>
      <c r="E920" s="222">
        <v>2021</v>
      </c>
      <c r="F920" s="142">
        <f t="shared" si="170"/>
        <v>280</v>
      </c>
      <c r="G920" s="140"/>
      <c r="H920" s="140"/>
      <c r="I920" s="142">
        <v>280</v>
      </c>
      <c r="J920" s="16"/>
      <c r="K920" s="262"/>
      <c r="L920" s="106"/>
      <c r="N920" s="99"/>
      <c r="P920" s="99"/>
      <c r="Q920" s="99"/>
      <c r="S920" s="99"/>
    </row>
    <row r="921" spans="1:19" ht="15" customHeight="1" x14ac:dyDescent="0.25">
      <c r="A921" s="257"/>
      <c r="B921" s="258"/>
      <c r="C921" s="393"/>
      <c r="D921" s="261"/>
      <c r="E921" s="222">
        <v>2022</v>
      </c>
      <c r="F921" s="142">
        <f t="shared" si="170"/>
        <v>0</v>
      </c>
      <c r="G921" s="141"/>
      <c r="H921" s="141"/>
      <c r="I921" s="142">
        <f>240-240</f>
        <v>0</v>
      </c>
      <c r="J921" s="16"/>
      <c r="K921" s="262"/>
      <c r="L921" s="99"/>
      <c r="N921" s="99"/>
      <c r="P921" s="99"/>
      <c r="Q921" s="99"/>
      <c r="S921" s="99"/>
    </row>
    <row r="922" spans="1:19" ht="14.25" customHeight="1" x14ac:dyDescent="0.25">
      <c r="A922" s="257"/>
      <c r="B922" s="258"/>
      <c r="C922" s="393"/>
      <c r="D922" s="261"/>
      <c r="E922" s="222">
        <v>2023</v>
      </c>
      <c r="F922" s="142">
        <f t="shared" si="170"/>
        <v>0</v>
      </c>
      <c r="G922" s="142"/>
      <c r="H922" s="142"/>
      <c r="I922" s="142">
        <f>240-240</f>
        <v>0</v>
      </c>
      <c r="J922" s="16"/>
      <c r="K922" s="262"/>
      <c r="L922" s="99"/>
      <c r="N922" s="99"/>
      <c r="P922" s="99"/>
      <c r="Q922" s="99"/>
      <c r="S922" s="99"/>
    </row>
    <row r="923" spans="1:19" ht="15.75" customHeight="1" x14ac:dyDescent="0.25">
      <c r="A923" s="257"/>
      <c r="B923" s="258"/>
      <c r="C923" s="393"/>
      <c r="D923" s="261"/>
      <c r="E923" s="222">
        <v>2024</v>
      </c>
      <c r="F923" s="142">
        <f t="shared" si="170"/>
        <v>240</v>
      </c>
      <c r="G923" s="140"/>
      <c r="H923" s="140"/>
      <c r="I923" s="156">
        <v>240</v>
      </c>
      <c r="J923" s="16"/>
      <c r="K923" s="262"/>
      <c r="L923" s="99"/>
      <c r="N923" s="99"/>
      <c r="P923" s="99"/>
      <c r="Q923" s="99"/>
      <c r="S923" s="99"/>
    </row>
    <row r="924" spans="1:19" ht="15" customHeight="1" x14ac:dyDescent="0.25">
      <c r="A924" s="257"/>
      <c r="B924" s="258"/>
      <c r="C924" s="393"/>
      <c r="D924" s="261"/>
      <c r="E924" s="222">
        <v>2025</v>
      </c>
      <c r="F924" s="142">
        <f t="shared" si="170"/>
        <v>240</v>
      </c>
      <c r="G924" s="140"/>
      <c r="H924" s="140"/>
      <c r="I924" s="156">
        <v>240</v>
      </c>
      <c r="J924" s="16"/>
      <c r="K924" s="262"/>
      <c r="L924" s="99"/>
      <c r="N924" s="99"/>
      <c r="P924" s="99"/>
      <c r="Q924" s="99"/>
      <c r="S924" s="99"/>
    </row>
    <row r="925" spans="1:19" ht="18" customHeight="1" thickBot="1" x14ac:dyDescent="0.25">
      <c r="A925" s="257"/>
      <c r="B925" s="258"/>
      <c r="C925" s="393"/>
      <c r="D925" s="261"/>
      <c r="E925" s="263" t="s">
        <v>18</v>
      </c>
      <c r="F925" s="265">
        <f>SUM(F916:F924)</f>
        <v>1240.5</v>
      </c>
      <c r="G925" s="267"/>
      <c r="H925" s="267"/>
      <c r="I925" s="265">
        <f>SUM(I916:I924)</f>
        <v>1240.5</v>
      </c>
      <c r="J925" s="267"/>
      <c r="K925" s="262"/>
      <c r="L925" s="99"/>
      <c r="N925" s="99"/>
      <c r="P925" s="99"/>
      <c r="Q925" s="99"/>
      <c r="S925" s="99"/>
    </row>
    <row r="926" spans="1:19" ht="6.75" hidden="1" customHeight="1" thickBot="1" x14ac:dyDescent="0.25">
      <c r="A926" s="257"/>
      <c r="B926" s="258"/>
      <c r="C926" s="393"/>
      <c r="D926" s="261"/>
      <c r="E926" s="264"/>
      <c r="F926" s="266"/>
      <c r="G926" s="268"/>
      <c r="H926" s="268"/>
      <c r="I926" s="266"/>
      <c r="J926" s="268"/>
      <c r="K926" s="262"/>
      <c r="L926" s="99"/>
      <c r="N926" s="99"/>
      <c r="P926" s="99"/>
      <c r="Q926" s="99"/>
      <c r="S926" s="99"/>
    </row>
    <row r="927" spans="1:19" ht="13.5" hidden="1" customHeight="1" x14ac:dyDescent="0.2">
      <c r="A927" s="257"/>
      <c r="B927" s="259"/>
      <c r="C927" s="398"/>
      <c r="D927" s="261"/>
      <c r="E927" s="264"/>
      <c r="F927" s="266"/>
      <c r="G927" s="268"/>
      <c r="H927" s="268"/>
      <c r="I927" s="266"/>
      <c r="J927" s="268"/>
      <c r="K927" s="262"/>
      <c r="L927" s="99"/>
      <c r="N927" s="99"/>
      <c r="P927" s="99"/>
      <c r="Q927" s="99"/>
      <c r="S927" s="99"/>
    </row>
    <row r="928" spans="1:19" ht="26.25" thickBot="1" x14ac:dyDescent="0.25">
      <c r="A928" s="251" t="s">
        <v>207</v>
      </c>
      <c r="B928" s="252"/>
      <c r="C928" s="252"/>
      <c r="D928" s="253"/>
      <c r="E928" s="193" t="s">
        <v>395</v>
      </c>
      <c r="F928" s="194">
        <f>F925</f>
        <v>1240.5</v>
      </c>
      <c r="G928" s="194"/>
      <c r="H928" s="194">
        <f>H925</f>
        <v>0</v>
      </c>
      <c r="I928" s="194">
        <f>I925</f>
        <v>1240.5</v>
      </c>
      <c r="J928" s="94"/>
      <c r="K928" s="175"/>
      <c r="L928" s="126"/>
      <c r="M928" s="127"/>
      <c r="N928" s="99"/>
      <c r="P928" s="99"/>
      <c r="Q928" s="99"/>
      <c r="S928" s="99"/>
    </row>
    <row r="929" spans="1:35" ht="14.25" customHeight="1" thickBot="1" x14ac:dyDescent="0.25">
      <c r="A929" s="254" t="s">
        <v>419</v>
      </c>
      <c r="B929" s="255"/>
      <c r="C929" s="255"/>
      <c r="D929" s="255"/>
      <c r="E929" s="255"/>
      <c r="F929" s="255"/>
      <c r="G929" s="255"/>
      <c r="H929" s="255"/>
      <c r="I929" s="255"/>
      <c r="J929" s="255"/>
      <c r="K929" s="256"/>
      <c r="L929" s="99"/>
      <c r="N929" s="99"/>
      <c r="P929" s="99"/>
      <c r="Q929" s="99"/>
      <c r="S929" s="99"/>
    </row>
    <row r="930" spans="1:35" ht="15" customHeight="1" x14ac:dyDescent="0.25">
      <c r="A930" s="257" t="s">
        <v>390</v>
      </c>
      <c r="B930" s="258" t="s">
        <v>420</v>
      </c>
      <c r="C930" s="260" t="s">
        <v>437</v>
      </c>
      <c r="D930" s="249" t="s">
        <v>449</v>
      </c>
      <c r="E930" s="222">
        <v>2019</v>
      </c>
      <c r="F930" s="142">
        <f>I930+H930</f>
        <v>273.10000000000002</v>
      </c>
      <c r="G930" s="142"/>
      <c r="H930" s="142">
        <v>270.3</v>
      </c>
      <c r="I930" s="142">
        <f>2.7+0.1</f>
        <v>2.8000000000000003</v>
      </c>
      <c r="J930" s="16"/>
      <c r="K930" s="262" t="s">
        <v>422</v>
      </c>
      <c r="L930" s="99"/>
      <c r="N930" s="99"/>
      <c r="P930" s="99"/>
      <c r="Q930" s="99"/>
      <c r="S930" s="99"/>
    </row>
    <row r="931" spans="1:35" ht="15" customHeight="1" x14ac:dyDescent="0.25">
      <c r="A931" s="257"/>
      <c r="B931" s="258"/>
      <c r="C931" s="260"/>
      <c r="D931" s="261"/>
      <c r="E931" s="222">
        <v>2020</v>
      </c>
      <c r="F931" s="142">
        <f t="shared" ref="F931:F936" si="171">I931+H931</f>
        <v>557.9</v>
      </c>
      <c r="G931" s="140"/>
      <c r="H931" s="156">
        <v>552.29999999999995</v>
      </c>
      <c r="I931" s="156">
        <v>5.6</v>
      </c>
      <c r="J931" s="16"/>
      <c r="K931" s="262"/>
      <c r="L931" s="99"/>
      <c r="N931" s="99"/>
      <c r="P931" s="99"/>
      <c r="Q931" s="99"/>
      <c r="S931" s="99"/>
    </row>
    <row r="932" spans="1:35" ht="15" customHeight="1" x14ac:dyDescent="0.25">
      <c r="A932" s="257"/>
      <c r="B932" s="258"/>
      <c r="C932" s="260"/>
      <c r="D932" s="261"/>
      <c r="E932" s="222">
        <v>2021</v>
      </c>
      <c r="F932" s="142">
        <f t="shared" si="171"/>
        <v>581.9</v>
      </c>
      <c r="G932" s="140"/>
      <c r="H932" s="156">
        <v>576.1</v>
      </c>
      <c r="I932" s="142">
        <v>5.8</v>
      </c>
      <c r="J932" s="16"/>
      <c r="K932" s="262"/>
      <c r="L932" s="106"/>
      <c r="N932" s="99"/>
      <c r="P932" s="99"/>
      <c r="Q932" s="99"/>
      <c r="S932" s="99"/>
    </row>
    <row r="933" spans="1:35" ht="15" customHeight="1" x14ac:dyDescent="0.25">
      <c r="A933" s="257"/>
      <c r="B933" s="258"/>
      <c r="C933" s="260"/>
      <c r="D933" s="261"/>
      <c r="E933" s="222">
        <v>2022</v>
      </c>
      <c r="F933" s="142">
        <f t="shared" si="171"/>
        <v>0</v>
      </c>
      <c r="G933" s="141"/>
      <c r="H933" s="142">
        <f>600.9-600.9</f>
        <v>0</v>
      </c>
      <c r="I933" s="142">
        <f>6.1-6.1</f>
        <v>0</v>
      </c>
      <c r="J933" s="16"/>
      <c r="K933" s="262"/>
      <c r="L933" s="99"/>
      <c r="N933" s="99"/>
      <c r="P933" s="99"/>
      <c r="Q933" s="99"/>
      <c r="S933" s="99"/>
    </row>
    <row r="934" spans="1:35" ht="14.25" customHeight="1" x14ac:dyDescent="0.25">
      <c r="A934" s="257"/>
      <c r="B934" s="258"/>
      <c r="C934" s="260"/>
      <c r="D934" s="261"/>
      <c r="E934" s="222">
        <v>2023</v>
      </c>
      <c r="F934" s="142">
        <f t="shared" si="171"/>
        <v>0</v>
      </c>
      <c r="G934" s="142"/>
      <c r="H934" s="142"/>
      <c r="I934" s="142"/>
      <c r="J934" s="16"/>
      <c r="K934" s="262"/>
      <c r="L934" s="99"/>
      <c r="N934" s="99"/>
      <c r="P934" s="99"/>
      <c r="Q934" s="99"/>
      <c r="S934" s="99"/>
    </row>
    <row r="935" spans="1:35" ht="15.75" customHeight="1" x14ac:dyDescent="0.25">
      <c r="A935" s="257"/>
      <c r="B935" s="258"/>
      <c r="C935" s="260"/>
      <c r="D935" s="261"/>
      <c r="E935" s="222">
        <v>2024</v>
      </c>
      <c r="F935" s="142">
        <f t="shared" si="171"/>
        <v>0</v>
      </c>
      <c r="G935" s="140"/>
      <c r="H935" s="140"/>
      <c r="I935" s="156"/>
      <c r="J935" s="16"/>
      <c r="K935" s="262"/>
      <c r="L935" s="99"/>
      <c r="N935" s="99"/>
      <c r="P935" s="99"/>
      <c r="Q935" s="99"/>
      <c r="S935" s="99"/>
    </row>
    <row r="936" spans="1:35" ht="15" customHeight="1" x14ac:dyDescent="0.25">
      <c r="A936" s="257"/>
      <c r="B936" s="258"/>
      <c r="C936" s="260"/>
      <c r="D936" s="261"/>
      <c r="E936" s="222">
        <v>2025</v>
      </c>
      <c r="F936" s="142">
        <f t="shared" si="171"/>
        <v>0</v>
      </c>
      <c r="G936" s="140"/>
      <c r="H936" s="140"/>
      <c r="I936" s="156"/>
      <c r="J936" s="16"/>
      <c r="K936" s="262"/>
      <c r="L936" s="99"/>
      <c r="N936" s="99"/>
      <c r="P936" s="99"/>
      <c r="Q936" s="99"/>
      <c r="S936" s="99"/>
    </row>
    <row r="937" spans="1:35" ht="18" customHeight="1" thickBot="1" x14ac:dyDescent="0.25">
      <c r="A937" s="257"/>
      <c r="B937" s="258"/>
      <c r="C937" s="260"/>
      <c r="D937" s="261"/>
      <c r="E937" s="263" t="s">
        <v>18</v>
      </c>
      <c r="F937" s="265">
        <f>SUM(F930:F936)</f>
        <v>1412.9</v>
      </c>
      <c r="G937" s="267"/>
      <c r="H937" s="269">
        <f>SUM(H930:H936)</f>
        <v>1398.6999999999998</v>
      </c>
      <c r="I937" s="265">
        <f>SUM(I930:I936)</f>
        <v>14.2</v>
      </c>
      <c r="J937" s="267"/>
      <c r="K937" s="262"/>
      <c r="L937" s="99"/>
      <c r="N937" s="99"/>
      <c r="P937" s="99"/>
      <c r="Q937" s="99"/>
      <c r="S937" s="99"/>
    </row>
    <row r="938" spans="1:35" ht="6.75" hidden="1" customHeight="1" thickBot="1" x14ac:dyDescent="0.25">
      <c r="A938" s="257"/>
      <c r="B938" s="258"/>
      <c r="C938" s="260"/>
      <c r="D938" s="261"/>
      <c r="E938" s="264"/>
      <c r="F938" s="266"/>
      <c r="G938" s="268"/>
      <c r="H938" s="270"/>
      <c r="I938" s="266"/>
      <c r="J938" s="268"/>
      <c r="K938" s="262"/>
      <c r="L938" s="99"/>
      <c r="N938" s="99"/>
      <c r="P938" s="99"/>
      <c r="Q938" s="99"/>
      <c r="S938" s="99"/>
    </row>
    <row r="939" spans="1:35" ht="13.5" hidden="1" customHeight="1" thickBot="1" x14ac:dyDescent="0.25">
      <c r="A939" s="257"/>
      <c r="B939" s="259"/>
      <c r="C939" s="248"/>
      <c r="D939" s="261"/>
      <c r="E939" s="264"/>
      <c r="F939" s="266"/>
      <c r="G939" s="268"/>
      <c r="H939" s="270"/>
      <c r="I939" s="266"/>
      <c r="J939" s="268"/>
      <c r="K939" s="262"/>
      <c r="L939" s="99"/>
      <c r="N939" s="99"/>
      <c r="P939" s="99"/>
      <c r="Q939" s="99"/>
      <c r="S939" s="99"/>
    </row>
    <row r="940" spans="1:35" ht="26.25" thickBot="1" x14ac:dyDescent="0.25">
      <c r="A940" s="251" t="s">
        <v>421</v>
      </c>
      <c r="B940" s="252"/>
      <c r="C940" s="252"/>
      <c r="D940" s="253"/>
      <c r="E940" s="193" t="s">
        <v>395</v>
      </c>
      <c r="F940" s="194">
        <f>F937</f>
        <v>1412.9</v>
      </c>
      <c r="G940" s="194"/>
      <c r="H940" s="194">
        <f>H937</f>
        <v>1398.6999999999998</v>
      </c>
      <c r="I940" s="194">
        <f>I937</f>
        <v>14.2</v>
      </c>
      <c r="J940" s="94"/>
      <c r="K940" s="175"/>
      <c r="L940" s="126"/>
      <c r="M940" s="127"/>
      <c r="N940" s="99"/>
      <c r="O940" s="4" t="s">
        <v>441</v>
      </c>
      <c r="P940" s="99" t="s">
        <v>442</v>
      </c>
      <c r="Q940" s="99"/>
      <c r="S940" s="99"/>
    </row>
    <row r="941" spans="1:35" ht="47.25" customHeight="1" x14ac:dyDescent="0.25">
      <c r="A941" s="543" t="s">
        <v>201</v>
      </c>
      <c r="B941" s="544"/>
      <c r="C941" s="544"/>
      <c r="D941" s="549"/>
      <c r="E941" s="195" t="s">
        <v>395</v>
      </c>
      <c r="F941" s="189" t="s">
        <v>18</v>
      </c>
      <c r="G941" s="190" t="s">
        <v>10</v>
      </c>
      <c r="H941" s="191" t="s">
        <v>11</v>
      </c>
      <c r="I941" s="191" t="s">
        <v>12</v>
      </c>
      <c r="J941" s="191" t="s">
        <v>13</v>
      </c>
      <c r="K941" s="192"/>
      <c r="M941" s="117"/>
      <c r="N941" s="107">
        <v>2020</v>
      </c>
      <c r="O941" s="117">
        <f>H931+H751+H731+H719</f>
        <v>9905.9000000000015</v>
      </c>
      <c r="P941" s="107">
        <f>I931+I919+I905+I898+I886+I874+I866+I856+I841+I829+I807+I778+I766+I751+I743</f>
        <v>1181</v>
      </c>
    </row>
    <row r="942" spans="1:35" ht="16.5" thickBot="1" x14ac:dyDescent="0.3">
      <c r="A942" s="546"/>
      <c r="B942" s="547"/>
      <c r="C942" s="547"/>
      <c r="D942" s="550"/>
      <c r="E942" s="196"/>
      <c r="F942" s="140">
        <f>SUM(G942:J942)</f>
        <v>115349.40000000001</v>
      </c>
      <c r="G942" s="140"/>
      <c r="H942" s="141">
        <f>H914+H848+H821+H799+H758+H928+H940</f>
        <v>104496.1</v>
      </c>
      <c r="I942" s="141">
        <f>I914+I848+I821+I799+I758+I928+I940</f>
        <v>10853.3</v>
      </c>
      <c r="J942" s="142"/>
      <c r="K942" s="51"/>
      <c r="L942" s="133"/>
      <c r="M942" s="134"/>
      <c r="N942" s="28"/>
      <c r="O942" s="28"/>
      <c r="P942" s="28"/>
      <c r="Q942" s="28"/>
      <c r="R942" s="28"/>
      <c r="S942" s="28"/>
      <c r="T942" s="28"/>
      <c r="U942" s="28"/>
      <c r="V942" s="28"/>
    </row>
    <row r="943" spans="1:35" ht="18" x14ac:dyDescent="0.2">
      <c r="A943" s="337" t="s">
        <v>214</v>
      </c>
      <c r="B943" s="338"/>
      <c r="C943" s="338"/>
      <c r="D943" s="338"/>
      <c r="E943" s="411"/>
      <c r="F943" s="411"/>
      <c r="G943" s="411"/>
      <c r="H943" s="411"/>
      <c r="I943" s="411"/>
      <c r="J943" s="411"/>
      <c r="K943" s="411"/>
      <c r="L943" s="40"/>
      <c r="M943" s="40"/>
      <c r="N943" s="40"/>
      <c r="O943" s="40"/>
      <c r="P943" s="40"/>
      <c r="Q943" s="40"/>
      <c r="R943" s="40"/>
      <c r="S943" s="40"/>
      <c r="T943" s="40"/>
      <c r="U943" s="40"/>
      <c r="V943" s="40"/>
      <c r="W943" s="38"/>
      <c r="X943" s="38"/>
      <c r="Y943" s="38"/>
      <c r="Z943" s="38"/>
      <c r="AA943" s="38"/>
      <c r="AB943" s="38"/>
      <c r="AC943" s="38"/>
      <c r="AD943" s="38"/>
      <c r="AE943" s="38"/>
      <c r="AF943" s="38"/>
      <c r="AG943" s="38"/>
      <c r="AH943" s="38"/>
      <c r="AI943" s="39"/>
    </row>
    <row r="944" spans="1:35" ht="16.5" thickBot="1" x14ac:dyDescent="0.25">
      <c r="A944" s="412" t="s">
        <v>202</v>
      </c>
      <c r="B944" s="413"/>
      <c r="C944" s="413"/>
      <c r="D944" s="413"/>
      <c r="E944" s="360"/>
      <c r="F944" s="360"/>
      <c r="G944" s="360"/>
      <c r="H944" s="360"/>
      <c r="I944" s="360"/>
      <c r="J944" s="360"/>
      <c r="K944" s="360"/>
      <c r="L944" s="57"/>
      <c r="M944" s="57"/>
      <c r="N944" s="57"/>
      <c r="O944" s="57"/>
      <c r="P944" s="57"/>
      <c r="Q944" s="57"/>
      <c r="R944" s="57"/>
      <c r="S944" s="57"/>
      <c r="T944" s="57"/>
      <c r="U944" s="57"/>
      <c r="V944" s="57"/>
      <c r="W944" s="83"/>
      <c r="X944" s="83"/>
      <c r="Y944" s="83"/>
      <c r="Z944" s="83"/>
      <c r="AA944" s="83"/>
      <c r="AB944" s="83"/>
      <c r="AC944" s="83"/>
      <c r="AD944" s="83"/>
      <c r="AE944" s="83"/>
      <c r="AF944" s="83"/>
      <c r="AG944" s="83"/>
      <c r="AH944" s="83"/>
      <c r="AI944" s="84"/>
    </row>
    <row r="945" spans="1:22" ht="15" x14ac:dyDescent="0.25">
      <c r="A945" s="385" t="s">
        <v>100</v>
      </c>
      <c r="B945" s="415" t="s">
        <v>101</v>
      </c>
      <c r="C945" s="272" t="s">
        <v>395</v>
      </c>
      <c r="D945" s="248" t="s">
        <v>456</v>
      </c>
      <c r="E945" s="222">
        <v>2015</v>
      </c>
      <c r="F945" s="156">
        <f t="shared" ref="F945:F950" si="172">SUM(G945:J945)</f>
        <v>4484.7</v>
      </c>
      <c r="G945" s="7"/>
      <c r="H945" s="7"/>
      <c r="I945" s="7">
        <v>4092.2</v>
      </c>
      <c r="J945" s="7">
        <v>392.5</v>
      </c>
      <c r="K945" s="248" t="s">
        <v>169</v>
      </c>
      <c r="L945" s="28"/>
      <c r="M945" s="28"/>
      <c r="N945" s="28"/>
      <c r="O945" s="28"/>
      <c r="P945" s="28"/>
      <c r="Q945" s="28"/>
      <c r="R945" s="28"/>
      <c r="S945" s="28"/>
      <c r="T945" s="28"/>
      <c r="U945" s="28"/>
      <c r="V945" s="28"/>
    </row>
    <row r="946" spans="1:22" ht="15" x14ac:dyDescent="0.25">
      <c r="A946" s="386"/>
      <c r="B946" s="416"/>
      <c r="C946" s="284"/>
      <c r="D946" s="261"/>
      <c r="E946" s="222">
        <v>2016</v>
      </c>
      <c r="F946" s="156">
        <f t="shared" si="172"/>
        <v>4690</v>
      </c>
      <c r="G946" s="7"/>
      <c r="H946" s="7"/>
      <c r="I946" s="7">
        <f>3801.5+222.3-0.4</f>
        <v>4023.4</v>
      </c>
      <c r="J946" s="7">
        <f>58.3+608.3</f>
        <v>666.59999999999991</v>
      </c>
      <c r="K946" s="249"/>
      <c r="L946" s="28"/>
      <c r="M946" s="28"/>
      <c r="N946" s="28"/>
      <c r="O946" s="28"/>
      <c r="P946" s="28"/>
      <c r="Q946" s="28"/>
      <c r="R946" s="28"/>
      <c r="S946" s="28"/>
      <c r="T946" s="28"/>
      <c r="U946" s="28"/>
      <c r="V946" s="28"/>
    </row>
    <row r="947" spans="1:22" ht="15" x14ac:dyDescent="0.25">
      <c r="A947" s="386"/>
      <c r="B947" s="416"/>
      <c r="C947" s="284"/>
      <c r="D947" s="261"/>
      <c r="E947" s="222">
        <v>2017</v>
      </c>
      <c r="F947" s="156">
        <f t="shared" si="172"/>
        <v>5150.5</v>
      </c>
      <c r="G947" s="7"/>
      <c r="H947" s="7"/>
      <c r="I947" s="7">
        <v>4386.7</v>
      </c>
      <c r="J947" s="7">
        <f>692.8+71</f>
        <v>763.8</v>
      </c>
      <c r="K947" s="249"/>
      <c r="L947" s="99" t="s">
        <v>363</v>
      </c>
      <c r="M947" s="125" t="s">
        <v>361</v>
      </c>
      <c r="N947" s="138" t="s">
        <v>362</v>
      </c>
      <c r="O947" s="137" t="s">
        <v>364</v>
      </c>
    </row>
    <row r="948" spans="1:22" ht="15" x14ac:dyDescent="0.25">
      <c r="A948" s="386"/>
      <c r="B948" s="416"/>
      <c r="C948" s="284"/>
      <c r="D948" s="261"/>
      <c r="E948" s="222">
        <v>2018</v>
      </c>
      <c r="F948" s="156">
        <f t="shared" si="172"/>
        <v>9280.6</v>
      </c>
      <c r="G948" s="7"/>
      <c r="H948" s="7"/>
      <c r="I948" s="7">
        <f>10993.2-3029.3</f>
        <v>7963.9000000000005</v>
      </c>
      <c r="J948" s="7">
        <v>1316.7</v>
      </c>
      <c r="K948" s="249"/>
      <c r="L948" s="99"/>
    </row>
    <row r="949" spans="1:22" ht="15" x14ac:dyDescent="0.25">
      <c r="A949" s="386"/>
      <c r="B949" s="416"/>
      <c r="C949" s="284"/>
      <c r="D949" s="261"/>
      <c r="E949" s="222">
        <v>2019</v>
      </c>
      <c r="F949" s="156">
        <f t="shared" si="172"/>
        <v>10066.299999999999</v>
      </c>
      <c r="G949" s="7"/>
      <c r="H949" s="7"/>
      <c r="I949" s="7">
        <f>9830.8+91.1-1258.2</f>
        <v>8663.6999999999989</v>
      </c>
      <c r="J949" s="7">
        <f>67.5+1335.1</f>
        <v>1402.6</v>
      </c>
      <c r="K949" s="249"/>
      <c r="L949" s="99"/>
    </row>
    <row r="950" spans="1:22" ht="15" x14ac:dyDescent="0.25">
      <c r="A950" s="386"/>
      <c r="B950" s="416"/>
      <c r="C950" s="284"/>
      <c r="D950" s="261"/>
      <c r="E950" s="222">
        <v>2020</v>
      </c>
      <c r="F950" s="156">
        <f t="shared" si="172"/>
        <v>8499.4</v>
      </c>
      <c r="G950" s="7"/>
      <c r="H950" s="7"/>
      <c r="I950" s="7">
        <f>5878-1370.2+4522.2-1744.3</f>
        <v>7285.7</v>
      </c>
      <c r="J950" s="7">
        <f>70.9+1142.8</f>
        <v>1213.7</v>
      </c>
      <c r="K950" s="249"/>
    </row>
    <row r="951" spans="1:22" ht="15" x14ac:dyDescent="0.25">
      <c r="A951" s="414"/>
      <c r="B951" s="417"/>
      <c r="C951" s="356"/>
      <c r="D951" s="261"/>
      <c r="E951" s="222">
        <v>2021</v>
      </c>
      <c r="F951" s="156">
        <f t="shared" ref="F951:F955" si="173">SUM(G951:J951)</f>
        <v>7648.7999999999993</v>
      </c>
      <c r="G951" s="7"/>
      <c r="H951" s="7"/>
      <c r="I951" s="7">
        <f>2995+1695-3949.5+6837.4</f>
        <v>7577.9</v>
      </c>
      <c r="J951" s="7">
        <v>70.900000000000006</v>
      </c>
      <c r="K951" s="249"/>
      <c r="L951" s="28"/>
      <c r="M951" s="28"/>
      <c r="N951" s="28"/>
      <c r="O951" s="28"/>
      <c r="P951" s="28"/>
      <c r="Q951" s="28"/>
      <c r="R951" s="28"/>
      <c r="S951" s="28"/>
      <c r="T951" s="28"/>
      <c r="U951" s="28"/>
      <c r="V951" s="28"/>
    </row>
    <row r="952" spans="1:22" ht="15" x14ac:dyDescent="0.25">
      <c r="A952" s="414"/>
      <c r="B952" s="417"/>
      <c r="C952" s="356"/>
      <c r="D952" s="261"/>
      <c r="E952" s="222">
        <v>2022</v>
      </c>
      <c r="F952" s="156">
        <f t="shared" si="173"/>
        <v>3859.9</v>
      </c>
      <c r="G952" s="7"/>
      <c r="H952" s="7"/>
      <c r="I952" s="7">
        <f>3200-1793+2382</f>
        <v>3789</v>
      </c>
      <c r="J952" s="7">
        <v>70.900000000000006</v>
      </c>
      <c r="K952" s="249"/>
      <c r="L952" s="99" t="s">
        <v>363</v>
      </c>
      <c r="M952" s="125" t="s">
        <v>361</v>
      </c>
      <c r="N952" s="138" t="s">
        <v>362</v>
      </c>
      <c r="O952" s="137" t="s">
        <v>364</v>
      </c>
    </row>
    <row r="953" spans="1:22" ht="15" x14ac:dyDescent="0.25">
      <c r="A953" s="414"/>
      <c r="B953" s="417"/>
      <c r="C953" s="356"/>
      <c r="D953" s="261"/>
      <c r="E953" s="222">
        <v>2023</v>
      </c>
      <c r="F953" s="156">
        <f t="shared" si="173"/>
        <v>1965.9</v>
      </c>
      <c r="G953" s="7"/>
      <c r="H953" s="7"/>
      <c r="I953" s="7">
        <f>3328-1433</f>
        <v>1895</v>
      </c>
      <c r="J953" s="7">
        <v>70.900000000000006</v>
      </c>
      <c r="K953" s="249"/>
      <c r="L953" s="99"/>
    </row>
    <row r="954" spans="1:22" ht="15" x14ac:dyDescent="0.25">
      <c r="A954" s="414"/>
      <c r="B954" s="417"/>
      <c r="C954" s="356"/>
      <c r="D954" s="261"/>
      <c r="E954" s="222">
        <v>2024</v>
      </c>
      <c r="F954" s="156">
        <f t="shared" si="173"/>
        <v>3531.9</v>
      </c>
      <c r="G954" s="7"/>
      <c r="H954" s="7"/>
      <c r="I954" s="7">
        <v>3461</v>
      </c>
      <c r="J954" s="7">
        <v>70.900000000000006</v>
      </c>
      <c r="K954" s="249"/>
      <c r="L954" s="99"/>
    </row>
    <row r="955" spans="1:22" ht="15" x14ac:dyDescent="0.25">
      <c r="A955" s="414"/>
      <c r="B955" s="417"/>
      <c r="C955" s="356"/>
      <c r="D955" s="261"/>
      <c r="E955" s="222">
        <v>2025</v>
      </c>
      <c r="F955" s="156">
        <f t="shared" si="173"/>
        <v>3670.9</v>
      </c>
      <c r="G955" s="7"/>
      <c r="H955" s="7"/>
      <c r="I955" s="7">
        <v>3600</v>
      </c>
      <c r="J955" s="7">
        <v>70.900000000000006</v>
      </c>
      <c r="K955" s="249"/>
    </row>
    <row r="956" spans="1:22" ht="14.25" x14ac:dyDescent="0.2">
      <c r="A956" s="414"/>
      <c r="B956" s="417"/>
      <c r="C956" s="356"/>
      <c r="D956" s="261"/>
      <c r="E956" s="18" t="s">
        <v>18</v>
      </c>
      <c r="F956" s="140">
        <f>SUM(F945:F955)</f>
        <v>62848.900000000009</v>
      </c>
      <c r="G956" s="140"/>
      <c r="H956" s="140">
        <f>SUM(H945:H950)</f>
        <v>0</v>
      </c>
      <c r="I956" s="140">
        <f>SUM(I945:I955)</f>
        <v>56738.5</v>
      </c>
      <c r="J956" s="140">
        <f>SUM(J945:J955)</f>
        <v>6110.3999999999978</v>
      </c>
      <c r="K956" s="249"/>
    </row>
    <row r="957" spans="1:22" ht="15" x14ac:dyDescent="0.25">
      <c r="A957" s="394" t="s">
        <v>102</v>
      </c>
      <c r="B957" s="273" t="s">
        <v>103</v>
      </c>
      <c r="C957" s="272" t="s">
        <v>395</v>
      </c>
      <c r="D957" s="260" t="s">
        <v>456</v>
      </c>
      <c r="E957" s="222">
        <v>2015</v>
      </c>
      <c r="F957" s="156">
        <f t="shared" ref="F957:F962" si="174">SUM(G957:J957)</f>
        <v>448.20000000000005</v>
      </c>
      <c r="G957" s="7"/>
      <c r="H957" s="7"/>
      <c r="I957" s="7">
        <v>251.4</v>
      </c>
      <c r="J957" s="7">
        <v>196.8</v>
      </c>
      <c r="K957" s="249"/>
    </row>
    <row r="958" spans="1:22" ht="15" x14ac:dyDescent="0.25">
      <c r="A958" s="410"/>
      <c r="B958" s="274"/>
      <c r="C958" s="284"/>
      <c r="D958" s="284"/>
      <c r="E958" s="222">
        <v>2016</v>
      </c>
      <c r="F958" s="156">
        <f t="shared" si="174"/>
        <v>478.19999999999993</v>
      </c>
      <c r="G958" s="7"/>
      <c r="H958" s="7"/>
      <c r="I958" s="7">
        <f>414.2-142.9</f>
        <v>271.29999999999995</v>
      </c>
      <c r="J958" s="7">
        <f>206.6+0.3</f>
        <v>206.9</v>
      </c>
      <c r="K958" s="249"/>
    </row>
    <row r="959" spans="1:22" ht="15" x14ac:dyDescent="0.25">
      <c r="A959" s="410"/>
      <c r="B959" s="274"/>
      <c r="C959" s="284"/>
      <c r="D959" s="284"/>
      <c r="E959" s="222">
        <v>2017</v>
      </c>
      <c r="F959" s="156">
        <f t="shared" si="174"/>
        <v>485</v>
      </c>
      <c r="G959" s="7"/>
      <c r="H959" s="7"/>
      <c r="I959" s="7">
        <v>355.7</v>
      </c>
      <c r="J959" s="7">
        <f>110.1+19.2</f>
        <v>129.29999999999998</v>
      </c>
      <c r="K959" s="249"/>
      <c r="L959" s="99" t="s">
        <v>368</v>
      </c>
      <c r="M959" s="125" t="s">
        <v>365</v>
      </c>
      <c r="N959" s="138" t="s">
        <v>366</v>
      </c>
      <c r="O959" s="137" t="s">
        <v>367</v>
      </c>
    </row>
    <row r="960" spans="1:22" ht="15" x14ac:dyDescent="0.25">
      <c r="A960" s="410"/>
      <c r="B960" s="274"/>
      <c r="C960" s="284"/>
      <c r="D960" s="284"/>
      <c r="E960" s="222">
        <v>2018</v>
      </c>
      <c r="F960" s="156">
        <f t="shared" si="174"/>
        <v>636.70000000000005</v>
      </c>
      <c r="G960" s="7"/>
      <c r="H960" s="7"/>
      <c r="I960" s="7">
        <f>337.1+35.1</f>
        <v>372.20000000000005</v>
      </c>
      <c r="J960" s="7">
        <f>284.8-20.3</f>
        <v>264.5</v>
      </c>
      <c r="K960" s="249"/>
      <c r="L960" s="99"/>
    </row>
    <row r="961" spans="1:15" ht="15" x14ac:dyDescent="0.25">
      <c r="A961" s="410"/>
      <c r="B961" s="274"/>
      <c r="C961" s="284"/>
      <c r="D961" s="284"/>
      <c r="E961" s="222">
        <v>2019</v>
      </c>
      <c r="F961" s="156">
        <f t="shared" si="174"/>
        <v>591.90000000000009</v>
      </c>
      <c r="G961" s="7"/>
      <c r="H961" s="7"/>
      <c r="I961" s="7">
        <f>374.6-49.4</f>
        <v>325.20000000000005</v>
      </c>
      <c r="J961" s="7">
        <f>239.1+27.6</f>
        <v>266.7</v>
      </c>
      <c r="K961" s="249"/>
      <c r="L961" s="99"/>
    </row>
    <row r="962" spans="1:15" ht="15" x14ac:dyDescent="0.25">
      <c r="A962" s="410"/>
      <c r="B962" s="274"/>
      <c r="C962" s="284"/>
      <c r="D962" s="284"/>
      <c r="E962" s="222">
        <v>2020</v>
      </c>
      <c r="F962" s="156">
        <f t="shared" si="174"/>
        <v>525.6</v>
      </c>
      <c r="G962" s="7"/>
      <c r="H962" s="7"/>
      <c r="I962" s="7">
        <f>306.6+94.9-73.3</f>
        <v>328.2</v>
      </c>
      <c r="J962" s="7">
        <f>251-53.6</f>
        <v>197.4</v>
      </c>
      <c r="K962" s="249"/>
    </row>
    <row r="963" spans="1:15" ht="15" x14ac:dyDescent="0.25">
      <c r="A963" s="410"/>
      <c r="B963" s="274"/>
      <c r="C963" s="284"/>
      <c r="D963" s="284"/>
      <c r="E963" s="222">
        <v>2021</v>
      </c>
      <c r="F963" s="156">
        <f t="shared" ref="F963:F967" si="175">SUM(G963:J963)</f>
        <v>380.9</v>
      </c>
      <c r="G963" s="7"/>
      <c r="H963" s="7"/>
      <c r="I963" s="7">
        <f>201.6-0.9-70.8</f>
        <v>129.89999999999998</v>
      </c>
      <c r="J963" s="7">
        <v>251</v>
      </c>
      <c r="K963" s="249"/>
    </row>
    <row r="964" spans="1:15" ht="15" x14ac:dyDescent="0.25">
      <c r="A964" s="410"/>
      <c r="B964" s="274"/>
      <c r="C964" s="284"/>
      <c r="D964" s="284"/>
      <c r="E964" s="222">
        <v>2022</v>
      </c>
      <c r="F964" s="156">
        <f t="shared" si="175"/>
        <v>316</v>
      </c>
      <c r="G964" s="7"/>
      <c r="H964" s="7"/>
      <c r="I964" s="7">
        <f>300.5-239+3.5</f>
        <v>65</v>
      </c>
      <c r="J964" s="7">
        <v>251</v>
      </c>
      <c r="K964" s="249"/>
    </row>
    <row r="965" spans="1:15" ht="15" x14ac:dyDescent="0.25">
      <c r="A965" s="410"/>
      <c r="B965" s="274"/>
      <c r="C965" s="284"/>
      <c r="D965" s="284"/>
      <c r="E965" s="222">
        <v>2023</v>
      </c>
      <c r="F965" s="156">
        <f t="shared" si="175"/>
        <v>285</v>
      </c>
      <c r="G965" s="7"/>
      <c r="H965" s="7"/>
      <c r="I965" s="7">
        <f>312.5-278.5</f>
        <v>34</v>
      </c>
      <c r="J965" s="7">
        <v>251</v>
      </c>
      <c r="K965" s="249"/>
      <c r="L965" s="99" t="s">
        <v>368</v>
      </c>
      <c r="M965" s="125" t="s">
        <v>365</v>
      </c>
      <c r="N965" s="138" t="s">
        <v>366</v>
      </c>
      <c r="O965" s="137" t="s">
        <v>367</v>
      </c>
    </row>
    <row r="966" spans="1:15" ht="15" x14ac:dyDescent="0.25">
      <c r="A966" s="410"/>
      <c r="B966" s="274"/>
      <c r="C966" s="284"/>
      <c r="D966" s="284"/>
      <c r="E966" s="222">
        <v>2024</v>
      </c>
      <c r="F966" s="156">
        <f t="shared" si="175"/>
        <v>576</v>
      </c>
      <c r="G966" s="7"/>
      <c r="H966" s="7"/>
      <c r="I966" s="7">
        <v>325</v>
      </c>
      <c r="J966" s="7">
        <v>251</v>
      </c>
      <c r="K966" s="249"/>
      <c r="L966" s="99"/>
    </row>
    <row r="967" spans="1:15" ht="15" x14ac:dyDescent="0.25">
      <c r="A967" s="410"/>
      <c r="B967" s="274"/>
      <c r="C967" s="284"/>
      <c r="D967" s="284"/>
      <c r="E967" s="222">
        <v>2025</v>
      </c>
      <c r="F967" s="156">
        <f t="shared" si="175"/>
        <v>589</v>
      </c>
      <c r="G967" s="7"/>
      <c r="H967" s="7"/>
      <c r="I967" s="7">
        <v>338</v>
      </c>
      <c r="J967" s="7">
        <v>251</v>
      </c>
      <c r="K967" s="249"/>
      <c r="L967" s="99"/>
    </row>
    <row r="968" spans="1:15" ht="14.25" x14ac:dyDescent="0.2">
      <c r="A968" s="410"/>
      <c r="B968" s="274"/>
      <c r="C968" s="284"/>
      <c r="D968" s="284"/>
      <c r="E968" s="18" t="s">
        <v>18</v>
      </c>
      <c r="F968" s="140">
        <f>SUM(F957:F967)</f>
        <v>5312.5</v>
      </c>
      <c r="G968" s="140"/>
      <c r="H968" s="140">
        <f>SUM(H957:H962)</f>
        <v>0</v>
      </c>
      <c r="I968" s="140">
        <f>SUM(I957:I967)</f>
        <v>2795.9</v>
      </c>
      <c r="J968" s="140">
        <f>SUM(J957:J967)</f>
        <v>2516.6000000000004</v>
      </c>
      <c r="K968" s="249"/>
    </row>
    <row r="969" spans="1:15" ht="15" x14ac:dyDescent="0.25">
      <c r="A969" s="394" t="s">
        <v>104</v>
      </c>
      <c r="B969" s="273" t="s">
        <v>424</v>
      </c>
      <c r="C969" s="272" t="s">
        <v>395</v>
      </c>
      <c r="D969" s="260" t="s">
        <v>456</v>
      </c>
      <c r="E969" s="222">
        <v>2015</v>
      </c>
      <c r="F969" s="156">
        <f t="shared" ref="F969:F974" si="176">SUM(G969:J969)</f>
        <v>402.69999999999993</v>
      </c>
      <c r="G969" s="7"/>
      <c r="H969" s="7"/>
      <c r="I969" s="7">
        <f>344.4+6.9</f>
        <v>351.29999999999995</v>
      </c>
      <c r="J969" s="7">
        <v>51.4</v>
      </c>
      <c r="K969" s="249"/>
    </row>
    <row r="970" spans="1:15" ht="15" x14ac:dyDescent="0.25">
      <c r="A970" s="410"/>
      <c r="B970" s="273"/>
      <c r="C970" s="284"/>
      <c r="D970" s="284"/>
      <c r="E970" s="222">
        <v>2016</v>
      </c>
      <c r="F970" s="156">
        <f t="shared" si="176"/>
        <v>681.2</v>
      </c>
      <c r="G970" s="7"/>
      <c r="H970" s="7"/>
      <c r="I970" s="7">
        <f>363.3+262.6</f>
        <v>625.90000000000009</v>
      </c>
      <c r="J970" s="7">
        <f>54+1.3</f>
        <v>55.3</v>
      </c>
      <c r="K970" s="249"/>
    </row>
    <row r="971" spans="1:15" ht="15" x14ac:dyDescent="0.25">
      <c r="A971" s="410"/>
      <c r="B971" s="273"/>
      <c r="C971" s="284"/>
      <c r="D971" s="284"/>
      <c r="E971" s="222">
        <v>2017</v>
      </c>
      <c r="F971" s="156">
        <f t="shared" si="176"/>
        <v>877.6</v>
      </c>
      <c r="G971" s="7"/>
      <c r="H971" s="7"/>
      <c r="I971" s="7">
        <v>678.1</v>
      </c>
      <c r="J971" s="7">
        <f>169.8+29.7</f>
        <v>199.5</v>
      </c>
      <c r="K971" s="249"/>
      <c r="L971" s="99" t="s">
        <v>372</v>
      </c>
      <c r="M971" s="125" t="s">
        <v>369</v>
      </c>
      <c r="N971" s="138" t="s">
        <v>370</v>
      </c>
      <c r="O971" s="137" t="s">
        <v>371</v>
      </c>
    </row>
    <row r="972" spans="1:15" ht="15" x14ac:dyDescent="0.25">
      <c r="A972" s="410"/>
      <c r="B972" s="273"/>
      <c r="C972" s="284"/>
      <c r="D972" s="284"/>
      <c r="E972" s="222">
        <v>2018</v>
      </c>
      <c r="F972" s="156">
        <f t="shared" si="176"/>
        <v>1706.1</v>
      </c>
      <c r="G972" s="7"/>
      <c r="H972" s="7"/>
      <c r="I972" s="7">
        <f>1042.6+242.6</f>
        <v>1285.1999999999998</v>
      </c>
      <c r="J972" s="7">
        <f>416.7+4.2</f>
        <v>420.9</v>
      </c>
      <c r="K972" s="249"/>
      <c r="L972" s="99"/>
    </row>
    <row r="973" spans="1:15" ht="15" x14ac:dyDescent="0.25">
      <c r="A973" s="410"/>
      <c r="B973" s="273"/>
      <c r="C973" s="284"/>
      <c r="D973" s="284"/>
      <c r="E973" s="222">
        <v>2019</v>
      </c>
      <c r="F973" s="156">
        <f t="shared" si="176"/>
        <v>1114.8999999999999</v>
      </c>
      <c r="G973" s="7"/>
      <c r="H973" s="7"/>
      <c r="I973" s="7">
        <f>1254.6-527.6</f>
        <v>726.99999999999989</v>
      </c>
      <c r="J973" s="7">
        <f>62.5+325.4</f>
        <v>387.9</v>
      </c>
      <c r="K973" s="249"/>
      <c r="L973" s="99"/>
    </row>
    <row r="974" spans="1:15" ht="15" x14ac:dyDescent="0.25">
      <c r="A974" s="410"/>
      <c r="B974" s="273"/>
      <c r="C974" s="284"/>
      <c r="D974" s="284"/>
      <c r="E974" s="222">
        <v>2020</v>
      </c>
      <c r="F974" s="156">
        <f t="shared" si="176"/>
        <v>1056.2</v>
      </c>
      <c r="G974" s="7"/>
      <c r="H974" s="7"/>
      <c r="I974" s="7">
        <f>685+486-402.4</f>
        <v>768.6</v>
      </c>
      <c r="J974" s="7">
        <f>65.7+221.9</f>
        <v>287.60000000000002</v>
      </c>
      <c r="K974" s="249"/>
    </row>
    <row r="975" spans="1:15" ht="15" x14ac:dyDescent="0.25">
      <c r="A975" s="410"/>
      <c r="B975" s="273"/>
      <c r="C975" s="284"/>
      <c r="D975" s="284"/>
      <c r="E975" s="222">
        <v>2021</v>
      </c>
      <c r="F975" s="156">
        <f t="shared" ref="F975:F979" si="177">SUM(G975:J975)</f>
        <v>852.40000000000009</v>
      </c>
      <c r="G975" s="7"/>
      <c r="H975" s="7"/>
      <c r="I975" s="7">
        <f>348+293+145.7</f>
        <v>786.7</v>
      </c>
      <c r="J975" s="7">
        <v>65.7</v>
      </c>
      <c r="K975" s="249"/>
    </row>
    <row r="976" spans="1:15" ht="15" x14ac:dyDescent="0.25">
      <c r="A976" s="410"/>
      <c r="B976" s="273"/>
      <c r="C976" s="284"/>
      <c r="D976" s="284"/>
      <c r="E976" s="222">
        <v>2022</v>
      </c>
      <c r="F976" s="156">
        <f t="shared" si="177"/>
        <v>458.7</v>
      </c>
      <c r="G976" s="7"/>
      <c r="H976" s="7"/>
      <c r="I976" s="7">
        <f>400-209+202</f>
        <v>393</v>
      </c>
      <c r="J976" s="7">
        <v>65.7</v>
      </c>
      <c r="K976" s="249"/>
      <c r="L976" s="99" t="s">
        <v>372</v>
      </c>
      <c r="M976" s="125" t="s">
        <v>369</v>
      </c>
      <c r="N976" s="138" t="s">
        <v>370</v>
      </c>
      <c r="O976" s="137" t="s">
        <v>371</v>
      </c>
    </row>
    <row r="977" spans="1:14" ht="15" x14ac:dyDescent="0.25">
      <c r="A977" s="410"/>
      <c r="B977" s="273"/>
      <c r="C977" s="284"/>
      <c r="D977" s="284"/>
      <c r="E977" s="222">
        <v>2023</v>
      </c>
      <c r="F977" s="156">
        <f t="shared" si="177"/>
        <v>262.7</v>
      </c>
      <c r="G977" s="7"/>
      <c r="H977" s="7"/>
      <c r="I977" s="7">
        <f>416-219</f>
        <v>197</v>
      </c>
      <c r="J977" s="7">
        <v>65.7</v>
      </c>
      <c r="K977" s="249"/>
      <c r="L977" s="99"/>
    </row>
    <row r="978" spans="1:14" ht="15" x14ac:dyDescent="0.25">
      <c r="A978" s="410"/>
      <c r="B978" s="273"/>
      <c r="C978" s="284"/>
      <c r="D978" s="284"/>
      <c r="E978" s="222">
        <v>2024</v>
      </c>
      <c r="F978" s="156">
        <f t="shared" si="177"/>
        <v>498.7</v>
      </c>
      <c r="G978" s="7"/>
      <c r="H978" s="7"/>
      <c r="I978" s="7">
        <v>433</v>
      </c>
      <c r="J978" s="7">
        <v>65.7</v>
      </c>
      <c r="K978" s="249"/>
      <c r="L978" s="99"/>
    </row>
    <row r="979" spans="1:14" ht="15" x14ac:dyDescent="0.25">
      <c r="A979" s="410"/>
      <c r="B979" s="273"/>
      <c r="C979" s="284"/>
      <c r="D979" s="284"/>
      <c r="E979" s="222">
        <v>2025</v>
      </c>
      <c r="F979" s="156">
        <f t="shared" si="177"/>
        <v>515.70000000000005</v>
      </c>
      <c r="G979" s="7"/>
      <c r="H979" s="7"/>
      <c r="I979" s="7">
        <v>450</v>
      </c>
      <c r="J979" s="7">
        <v>65.7</v>
      </c>
      <c r="K979" s="249"/>
    </row>
    <row r="980" spans="1:14" ht="14.25" x14ac:dyDescent="0.2">
      <c r="A980" s="410"/>
      <c r="B980" s="273"/>
      <c r="C980" s="284"/>
      <c r="D980" s="284"/>
      <c r="E980" s="18" t="s">
        <v>18</v>
      </c>
      <c r="F980" s="140">
        <f>SUM(F969:F979)</f>
        <v>8426.9</v>
      </c>
      <c r="G980" s="140"/>
      <c r="H980" s="140">
        <f>SUM(H969:H974)</f>
        <v>0</v>
      </c>
      <c r="I980" s="140">
        <f>SUM(I969:I979)</f>
        <v>6695.8</v>
      </c>
      <c r="J980" s="140">
        <f>SUM(J969:J979)</f>
        <v>1731.1000000000001</v>
      </c>
      <c r="K980" s="249"/>
    </row>
    <row r="981" spans="1:14" ht="15" x14ac:dyDescent="0.25">
      <c r="A981" s="394" t="s">
        <v>105</v>
      </c>
      <c r="B981" s="258" t="s">
        <v>106</v>
      </c>
      <c r="C981" s="272" t="s">
        <v>395</v>
      </c>
      <c r="D981" s="260" t="s">
        <v>456</v>
      </c>
      <c r="E981" s="222">
        <v>2015</v>
      </c>
      <c r="F981" s="156">
        <f t="shared" ref="F981:F986" si="178">SUM(G981:J981)</f>
        <v>2265.3000000000002</v>
      </c>
      <c r="G981" s="7"/>
      <c r="H981" s="7"/>
      <c r="I981" s="7">
        <v>2265.3000000000002</v>
      </c>
      <c r="J981" s="7"/>
      <c r="K981" s="249"/>
    </row>
    <row r="982" spans="1:14" ht="15" x14ac:dyDescent="0.25">
      <c r="A982" s="410"/>
      <c r="B982" s="283"/>
      <c r="C982" s="284"/>
      <c r="D982" s="284"/>
      <c r="E982" s="222">
        <v>2016</v>
      </c>
      <c r="F982" s="156">
        <f t="shared" si="178"/>
        <v>2244.6999999999998</v>
      </c>
      <c r="G982" s="7"/>
      <c r="H982" s="7"/>
      <c r="I982" s="7">
        <f>2295.7-51</f>
        <v>2244.6999999999998</v>
      </c>
      <c r="J982" s="7"/>
      <c r="K982" s="249"/>
    </row>
    <row r="983" spans="1:14" ht="15" x14ac:dyDescent="0.25">
      <c r="A983" s="410"/>
      <c r="B983" s="283"/>
      <c r="C983" s="284"/>
      <c r="D983" s="284"/>
      <c r="E983" s="222">
        <v>2017</v>
      </c>
      <c r="F983" s="156">
        <f t="shared" si="178"/>
        <v>2244.8000000000002</v>
      </c>
      <c r="G983" s="7"/>
      <c r="H983" s="7"/>
      <c r="I983" s="7">
        <v>2244.8000000000002</v>
      </c>
      <c r="J983" s="7"/>
      <c r="K983" s="249"/>
      <c r="L983" s="99"/>
      <c r="N983" s="106"/>
    </row>
    <row r="984" spans="1:14" ht="15" x14ac:dyDescent="0.25">
      <c r="A984" s="410"/>
      <c r="B984" s="283"/>
      <c r="C984" s="284"/>
      <c r="D984" s="284"/>
      <c r="E984" s="222">
        <v>2018</v>
      </c>
      <c r="F984" s="156">
        <f t="shared" si="178"/>
        <v>3991.5</v>
      </c>
      <c r="G984" s="7"/>
      <c r="H984" s="7"/>
      <c r="I984" s="7">
        <f>3340.4+651.1</f>
        <v>3991.5</v>
      </c>
      <c r="J984" s="7"/>
      <c r="K984" s="249"/>
      <c r="L984" s="99"/>
    </row>
    <row r="985" spans="1:14" ht="15" x14ac:dyDescent="0.25">
      <c r="A985" s="410"/>
      <c r="B985" s="283"/>
      <c r="C985" s="284"/>
      <c r="D985" s="284"/>
      <c r="E985" s="222">
        <v>2019</v>
      </c>
      <c r="F985" s="156">
        <f t="shared" si="178"/>
        <v>4409.5999999999995</v>
      </c>
      <c r="G985" s="7"/>
      <c r="H985" s="7"/>
      <c r="I985" s="7">
        <f>3954.2+455.4</f>
        <v>4409.5999999999995</v>
      </c>
      <c r="J985" s="7"/>
      <c r="K985" s="249"/>
      <c r="L985" s="99"/>
    </row>
    <row r="986" spans="1:14" ht="15" x14ac:dyDescent="0.25">
      <c r="A986" s="410"/>
      <c r="B986" s="283"/>
      <c r="C986" s="284"/>
      <c r="D986" s="284"/>
      <c r="E986" s="222">
        <v>2020</v>
      </c>
      <c r="F986" s="156">
        <f t="shared" si="178"/>
        <v>5126.2999999999993</v>
      </c>
      <c r="G986" s="7"/>
      <c r="H986" s="7"/>
      <c r="I986" s="7">
        <f>2170.4+2692.5+263.4</f>
        <v>5126.2999999999993</v>
      </c>
      <c r="J986" s="7"/>
      <c r="K986" s="249"/>
    </row>
    <row r="987" spans="1:14" ht="15" x14ac:dyDescent="0.25">
      <c r="A987" s="410"/>
      <c r="B987" s="283"/>
      <c r="C987" s="284"/>
      <c r="D987" s="284"/>
      <c r="E987" s="222">
        <v>2021</v>
      </c>
      <c r="F987" s="156">
        <f t="shared" ref="F987:F991" si="179">SUM(G987:J987)</f>
        <v>5016.8999999999996</v>
      </c>
      <c r="G987" s="7"/>
      <c r="H987" s="7"/>
      <c r="I987" s="7">
        <f>1215.4+1396-2050+4455.5</f>
        <v>5016.8999999999996</v>
      </c>
      <c r="J987" s="7"/>
      <c r="K987" s="249"/>
    </row>
    <row r="988" spans="1:14" ht="15" x14ac:dyDescent="0.25">
      <c r="A988" s="410"/>
      <c r="B988" s="283"/>
      <c r="C988" s="284"/>
      <c r="D988" s="284"/>
      <c r="E988" s="222">
        <v>2022</v>
      </c>
      <c r="F988" s="156">
        <f t="shared" si="179"/>
        <v>2510</v>
      </c>
      <c r="G988" s="7"/>
      <c r="H988" s="7"/>
      <c r="I988" s="7">
        <f>1370+1241.5-101.5</f>
        <v>2510</v>
      </c>
      <c r="J988" s="7"/>
      <c r="K988" s="249"/>
      <c r="L988" s="99"/>
      <c r="N988" s="106"/>
    </row>
    <row r="989" spans="1:14" ht="15" x14ac:dyDescent="0.25">
      <c r="A989" s="410"/>
      <c r="B989" s="283"/>
      <c r="C989" s="284"/>
      <c r="D989" s="284"/>
      <c r="E989" s="222">
        <v>2023</v>
      </c>
      <c r="F989" s="156">
        <f t="shared" si="179"/>
        <v>1255</v>
      </c>
      <c r="G989" s="7"/>
      <c r="H989" s="7"/>
      <c r="I989" s="7">
        <f>1424.8-169.8</f>
        <v>1255</v>
      </c>
      <c r="J989" s="7"/>
      <c r="K989" s="249"/>
      <c r="L989" s="99"/>
    </row>
    <row r="990" spans="1:14" ht="15" x14ac:dyDescent="0.25">
      <c r="A990" s="410"/>
      <c r="B990" s="283"/>
      <c r="C990" s="284"/>
      <c r="D990" s="284"/>
      <c r="E990" s="222">
        <v>2024</v>
      </c>
      <c r="F990" s="156">
        <f t="shared" si="179"/>
        <v>1481.8</v>
      </c>
      <c r="G990" s="7"/>
      <c r="H990" s="7"/>
      <c r="I990" s="7">
        <v>1481.8</v>
      </c>
      <c r="J990" s="7"/>
      <c r="K990" s="249"/>
      <c r="L990" s="99"/>
    </row>
    <row r="991" spans="1:14" ht="15" x14ac:dyDescent="0.25">
      <c r="A991" s="410"/>
      <c r="B991" s="283"/>
      <c r="C991" s="284"/>
      <c r="D991" s="284"/>
      <c r="E991" s="222">
        <v>2025</v>
      </c>
      <c r="F991" s="156">
        <f t="shared" si="179"/>
        <v>1541</v>
      </c>
      <c r="G991" s="7"/>
      <c r="H991" s="7"/>
      <c r="I991" s="7">
        <v>1541</v>
      </c>
      <c r="J991" s="7"/>
      <c r="K991" s="249"/>
    </row>
    <row r="992" spans="1:14" ht="15" x14ac:dyDescent="0.2">
      <c r="A992" s="410"/>
      <c r="B992" s="283"/>
      <c r="C992" s="284"/>
      <c r="D992" s="284"/>
      <c r="E992" s="18" t="s">
        <v>18</v>
      </c>
      <c r="F992" s="140">
        <f>SUM(F981:F991)</f>
        <v>32086.899999999998</v>
      </c>
      <c r="G992" s="140"/>
      <c r="H992" s="140">
        <f>SUM(H981:H986)</f>
        <v>0</v>
      </c>
      <c r="I992" s="140">
        <f>SUM(I981:I991)</f>
        <v>32086.899999999998</v>
      </c>
      <c r="J992" s="156">
        <f>SUM(J981:J986)</f>
        <v>0</v>
      </c>
      <c r="K992" s="250"/>
    </row>
    <row r="993" spans="1:14" ht="25.5" x14ac:dyDescent="0.2">
      <c r="A993" s="454" t="s">
        <v>193</v>
      </c>
      <c r="B993" s="455"/>
      <c r="C993" s="455"/>
      <c r="D993" s="455"/>
      <c r="E993" s="54" t="s">
        <v>395</v>
      </c>
      <c r="F993" s="140">
        <f>F992+F980+F968+F956</f>
        <v>108675.20000000001</v>
      </c>
      <c r="G993" s="140"/>
      <c r="H993" s="140">
        <f>H992+H980+H968+H956</f>
        <v>0</v>
      </c>
      <c r="I993" s="140">
        <f>I992+I980+I968+I956</f>
        <v>98317.1</v>
      </c>
      <c r="J993" s="140">
        <f>J992+J980+J968+J956</f>
        <v>10358.099999999999</v>
      </c>
      <c r="K993" s="82"/>
      <c r="L993" s="126"/>
      <c r="M993" s="99"/>
      <c r="N993" s="99"/>
    </row>
    <row r="994" spans="1:14" ht="15.75" customHeight="1" x14ac:dyDescent="0.2">
      <c r="A994" s="412" t="s">
        <v>218</v>
      </c>
      <c r="B994" s="413"/>
      <c r="C994" s="413"/>
      <c r="D994" s="413"/>
      <c r="E994" s="413"/>
      <c r="F994" s="413"/>
      <c r="G994" s="413"/>
      <c r="H994" s="413"/>
      <c r="I994" s="413"/>
      <c r="J994" s="413"/>
      <c r="K994" s="413"/>
    </row>
    <row r="995" spans="1:14" ht="15" x14ac:dyDescent="0.25">
      <c r="A995" s="394" t="s">
        <v>107</v>
      </c>
      <c r="B995" s="258" t="s">
        <v>108</v>
      </c>
      <c r="C995" s="272" t="s">
        <v>395</v>
      </c>
      <c r="D995" s="260" t="s">
        <v>456</v>
      </c>
      <c r="E995" s="222">
        <v>2015</v>
      </c>
      <c r="F995" s="156">
        <f t="shared" ref="F995:F1000" si="180">SUM(G995:I995)</f>
        <v>2070.1</v>
      </c>
      <c r="G995" s="7"/>
      <c r="H995" s="7"/>
      <c r="I995" s="7">
        <v>2070.1</v>
      </c>
      <c r="J995" s="14"/>
      <c r="K995" s="260" t="s">
        <v>1</v>
      </c>
    </row>
    <row r="996" spans="1:14" ht="15" x14ac:dyDescent="0.25">
      <c r="A996" s="410"/>
      <c r="B996" s="283"/>
      <c r="C996" s="284"/>
      <c r="D996" s="284"/>
      <c r="E996" s="222">
        <v>2016</v>
      </c>
      <c r="F996" s="156">
        <f t="shared" si="180"/>
        <v>2173.6</v>
      </c>
      <c r="G996" s="7"/>
      <c r="H996" s="7"/>
      <c r="I996" s="7">
        <v>2173.6</v>
      </c>
      <c r="J996" s="14"/>
      <c r="K996" s="260"/>
    </row>
    <row r="997" spans="1:14" ht="15" x14ac:dyDescent="0.25">
      <c r="A997" s="410"/>
      <c r="B997" s="283"/>
      <c r="C997" s="284"/>
      <c r="D997" s="284"/>
      <c r="E997" s="222">
        <v>2017</v>
      </c>
      <c r="F997" s="156">
        <f t="shared" si="180"/>
        <v>2282.3000000000002</v>
      </c>
      <c r="G997" s="7"/>
      <c r="H997" s="7"/>
      <c r="I997" s="7">
        <v>2282.3000000000002</v>
      </c>
      <c r="J997" s="14"/>
      <c r="K997" s="260"/>
      <c r="L997" s="99"/>
    </row>
    <row r="998" spans="1:14" ht="15" x14ac:dyDescent="0.25">
      <c r="A998" s="410"/>
      <c r="B998" s="283"/>
      <c r="C998" s="284"/>
      <c r="D998" s="284"/>
      <c r="E998" s="222">
        <v>2018</v>
      </c>
      <c r="F998" s="156">
        <f t="shared" si="180"/>
        <v>3474</v>
      </c>
      <c r="G998" s="7"/>
      <c r="H998" s="7"/>
      <c r="I998" s="7">
        <f>3145.8+328.2</f>
        <v>3474</v>
      </c>
      <c r="J998" s="14"/>
      <c r="K998" s="260"/>
      <c r="L998" s="99"/>
    </row>
    <row r="999" spans="1:14" ht="15" x14ac:dyDescent="0.25">
      <c r="A999" s="410"/>
      <c r="B999" s="283"/>
      <c r="C999" s="284"/>
      <c r="D999" s="284"/>
      <c r="E999" s="222">
        <v>2019</v>
      </c>
      <c r="F999" s="156">
        <f t="shared" si="180"/>
        <v>3475</v>
      </c>
      <c r="G999" s="7"/>
      <c r="H999" s="7"/>
      <c r="I999" s="7">
        <f>3145.8+30.5+300-1.3</f>
        <v>3475</v>
      </c>
      <c r="J999" s="14"/>
      <c r="K999" s="260"/>
      <c r="L999" s="99"/>
    </row>
    <row r="1000" spans="1:14" ht="15" x14ac:dyDescent="0.25">
      <c r="A1000" s="410"/>
      <c r="B1000" s="283"/>
      <c r="C1000" s="284"/>
      <c r="D1000" s="284"/>
      <c r="E1000" s="222">
        <v>2020</v>
      </c>
      <c r="F1000" s="156">
        <f t="shared" si="180"/>
        <v>4765.6000000000004</v>
      </c>
      <c r="G1000" s="7"/>
      <c r="H1000" s="7"/>
      <c r="I1000" s="7">
        <f>1600+3663.7-699.9+201.8</f>
        <v>4765.6000000000004</v>
      </c>
      <c r="J1000" s="14"/>
      <c r="K1000" s="260"/>
    </row>
    <row r="1001" spans="1:14" ht="15" x14ac:dyDescent="0.25">
      <c r="A1001" s="410"/>
      <c r="B1001" s="283"/>
      <c r="C1001" s="284"/>
      <c r="D1001" s="284"/>
      <c r="E1001" s="222">
        <v>2021</v>
      </c>
      <c r="F1001" s="156">
        <f t="shared" ref="F1001:F1005" si="181">SUM(G1001:I1001)</f>
        <v>4940.5</v>
      </c>
      <c r="G1001" s="7"/>
      <c r="H1001" s="7"/>
      <c r="I1001" s="7">
        <f>1000+1830.1-1100+3210.4</f>
        <v>4940.5</v>
      </c>
      <c r="J1001" s="14"/>
      <c r="K1001" s="260"/>
    </row>
    <row r="1002" spans="1:14" ht="15" x14ac:dyDescent="0.25">
      <c r="A1002" s="410"/>
      <c r="B1002" s="283"/>
      <c r="C1002" s="284"/>
      <c r="D1002" s="284"/>
      <c r="E1002" s="222">
        <v>2022</v>
      </c>
      <c r="F1002" s="156">
        <f t="shared" si="181"/>
        <v>2337</v>
      </c>
      <c r="G1002" s="7"/>
      <c r="H1002" s="7"/>
      <c r="I1002" s="7">
        <f>1120-271+1488</f>
        <v>2337</v>
      </c>
      <c r="J1002" s="14"/>
      <c r="K1002" s="260"/>
      <c r="L1002" s="99"/>
    </row>
    <row r="1003" spans="1:14" ht="15" x14ac:dyDescent="0.25">
      <c r="A1003" s="410"/>
      <c r="B1003" s="283"/>
      <c r="C1003" s="284"/>
      <c r="D1003" s="284"/>
      <c r="E1003" s="222">
        <v>2023</v>
      </c>
      <c r="F1003" s="156">
        <f t="shared" si="181"/>
        <v>0</v>
      </c>
      <c r="G1003" s="7"/>
      <c r="H1003" s="7"/>
      <c r="I1003" s="7">
        <f>1164.8-1164.8</f>
        <v>0</v>
      </c>
      <c r="J1003" s="14"/>
      <c r="K1003" s="260"/>
      <c r="L1003" s="99"/>
    </row>
    <row r="1004" spans="1:14" ht="15" x14ac:dyDescent="0.25">
      <c r="A1004" s="410"/>
      <c r="B1004" s="283"/>
      <c r="C1004" s="284"/>
      <c r="D1004" s="284"/>
      <c r="E1004" s="222">
        <v>2024</v>
      </c>
      <c r="F1004" s="156">
        <f t="shared" si="181"/>
        <v>1211.4000000000001</v>
      </c>
      <c r="G1004" s="7"/>
      <c r="H1004" s="7"/>
      <c r="I1004" s="7">
        <v>1211.4000000000001</v>
      </c>
      <c r="J1004" s="14"/>
      <c r="K1004" s="260"/>
      <c r="L1004" s="99"/>
    </row>
    <row r="1005" spans="1:14" ht="15" x14ac:dyDescent="0.25">
      <c r="A1005" s="410"/>
      <c r="B1005" s="283"/>
      <c r="C1005" s="284"/>
      <c r="D1005" s="284"/>
      <c r="E1005" s="222">
        <v>2025</v>
      </c>
      <c r="F1005" s="156">
        <f t="shared" si="181"/>
        <v>1259.8</v>
      </c>
      <c r="G1005" s="7"/>
      <c r="H1005" s="7"/>
      <c r="I1005" s="7">
        <v>1259.8</v>
      </c>
      <c r="J1005" s="14"/>
      <c r="K1005" s="260"/>
    </row>
    <row r="1006" spans="1:14" ht="14.25" x14ac:dyDescent="0.2">
      <c r="A1006" s="410"/>
      <c r="B1006" s="283"/>
      <c r="C1006" s="284"/>
      <c r="D1006" s="284"/>
      <c r="E1006" s="18" t="s">
        <v>18</v>
      </c>
      <c r="F1006" s="140">
        <f>SUM(F995:F1005)</f>
        <v>27989.3</v>
      </c>
      <c r="G1006" s="8"/>
      <c r="H1006" s="8"/>
      <c r="I1006" s="8">
        <f>SUM(I995:I1005)</f>
        <v>27989.3</v>
      </c>
      <c r="J1006" s="13"/>
      <c r="K1006" s="260"/>
    </row>
    <row r="1007" spans="1:14" ht="15" x14ac:dyDescent="0.25">
      <c r="A1007" s="394" t="s">
        <v>431</v>
      </c>
      <c r="B1007" s="258" t="s">
        <v>440</v>
      </c>
      <c r="C1007" s="260" t="s">
        <v>395</v>
      </c>
      <c r="D1007" s="260" t="s">
        <v>456</v>
      </c>
      <c r="E1007" s="223">
        <v>2020</v>
      </c>
      <c r="F1007" s="156">
        <f t="shared" ref="F1007" si="182">SUM(G1007:I1007)</f>
        <v>699.9</v>
      </c>
      <c r="G1007" s="7"/>
      <c r="H1007" s="7"/>
      <c r="I1007" s="7">
        <v>699.9</v>
      </c>
      <c r="J1007" s="14"/>
      <c r="K1007" s="260" t="s">
        <v>1</v>
      </c>
    </row>
    <row r="1008" spans="1:14" ht="15" x14ac:dyDescent="0.25">
      <c r="A1008" s="394"/>
      <c r="B1008" s="258"/>
      <c r="C1008" s="260"/>
      <c r="D1008" s="260"/>
      <c r="E1008" s="223">
        <v>2021</v>
      </c>
      <c r="F1008" s="156">
        <f t="shared" ref="F1008:F1012" si="183">SUM(G1008:I1008)</f>
        <v>526</v>
      </c>
      <c r="G1008" s="7"/>
      <c r="H1008" s="7"/>
      <c r="I1008" s="7">
        <v>526</v>
      </c>
      <c r="J1008" s="14"/>
      <c r="K1008" s="260"/>
    </row>
    <row r="1009" spans="1:35" ht="15" x14ac:dyDescent="0.25">
      <c r="A1009" s="394"/>
      <c r="B1009" s="258"/>
      <c r="C1009" s="260"/>
      <c r="D1009" s="260"/>
      <c r="E1009" s="223">
        <v>2022</v>
      </c>
      <c r="F1009" s="156">
        <f t="shared" si="183"/>
        <v>396</v>
      </c>
      <c r="G1009" s="7"/>
      <c r="H1009" s="7"/>
      <c r="I1009" s="7">
        <v>396</v>
      </c>
      <c r="J1009" s="14"/>
      <c r="K1009" s="260"/>
      <c r="L1009" s="99"/>
    </row>
    <row r="1010" spans="1:35" ht="15" x14ac:dyDescent="0.25">
      <c r="A1010" s="394"/>
      <c r="B1010" s="258"/>
      <c r="C1010" s="260"/>
      <c r="D1010" s="260"/>
      <c r="E1010" s="223">
        <v>2023</v>
      </c>
      <c r="F1010" s="156">
        <f t="shared" si="183"/>
        <v>0</v>
      </c>
      <c r="G1010" s="7"/>
      <c r="H1010" s="7"/>
      <c r="I1010" s="7">
        <v>0</v>
      </c>
      <c r="J1010" s="14"/>
      <c r="K1010" s="260"/>
      <c r="L1010" s="99"/>
    </row>
    <row r="1011" spans="1:35" ht="15" x14ac:dyDescent="0.25">
      <c r="A1011" s="394"/>
      <c r="B1011" s="258"/>
      <c r="C1011" s="260"/>
      <c r="D1011" s="260"/>
      <c r="E1011" s="223">
        <v>2024</v>
      </c>
      <c r="F1011" s="156">
        <f t="shared" si="183"/>
        <v>0</v>
      </c>
      <c r="G1011" s="7"/>
      <c r="H1011" s="7"/>
      <c r="I1011" s="7">
        <v>0</v>
      </c>
      <c r="J1011" s="14"/>
      <c r="K1011" s="260"/>
      <c r="L1011" s="99"/>
    </row>
    <row r="1012" spans="1:35" ht="15" x14ac:dyDescent="0.25">
      <c r="A1012" s="394"/>
      <c r="B1012" s="258"/>
      <c r="C1012" s="260"/>
      <c r="D1012" s="260"/>
      <c r="E1012" s="223">
        <v>2025</v>
      </c>
      <c r="F1012" s="156">
        <f t="shared" si="183"/>
        <v>0</v>
      </c>
      <c r="G1012" s="7"/>
      <c r="H1012" s="7"/>
      <c r="I1012" s="7">
        <v>0</v>
      </c>
      <c r="J1012" s="14"/>
      <c r="K1012" s="260"/>
    </row>
    <row r="1013" spans="1:35" ht="76.5" customHeight="1" x14ac:dyDescent="0.2">
      <c r="A1013" s="394"/>
      <c r="B1013" s="258"/>
      <c r="C1013" s="260"/>
      <c r="D1013" s="260"/>
      <c r="E1013" s="18" t="s">
        <v>18</v>
      </c>
      <c r="F1013" s="140">
        <f>SUM(F1007:F1012)</f>
        <v>1621.9</v>
      </c>
      <c r="G1013" s="8"/>
      <c r="H1013" s="8"/>
      <c r="I1013" s="8">
        <f>SUM(I1007:I1012)</f>
        <v>1621.9</v>
      </c>
      <c r="J1013" s="13"/>
      <c r="K1013" s="260"/>
    </row>
    <row r="1014" spans="1:35" ht="25.5" x14ac:dyDescent="0.2">
      <c r="A1014" s="418" t="s">
        <v>196</v>
      </c>
      <c r="B1014" s="379"/>
      <c r="C1014" s="379"/>
      <c r="D1014" s="379"/>
      <c r="E1014" s="54" t="s">
        <v>395</v>
      </c>
      <c r="F1014" s="140">
        <f>F1006+F1013</f>
        <v>29611.200000000001</v>
      </c>
      <c r="G1014" s="140"/>
      <c r="H1014" s="140">
        <f>H1006</f>
        <v>0</v>
      </c>
      <c r="I1014" s="140">
        <f>I1006+I1013</f>
        <v>29611.200000000001</v>
      </c>
      <c r="J1014" s="16"/>
      <c r="K1014" s="82"/>
      <c r="L1014" s="118"/>
      <c r="M1014" s="99"/>
    </row>
    <row r="1015" spans="1:35" ht="47.25" x14ac:dyDescent="0.25">
      <c r="A1015" s="439" t="s">
        <v>203</v>
      </c>
      <c r="B1015" s="440"/>
      <c r="C1015" s="440"/>
      <c r="D1015" s="441"/>
      <c r="E1015" s="189" t="s">
        <v>395</v>
      </c>
      <c r="F1015" s="189" t="s">
        <v>18</v>
      </c>
      <c r="G1015" s="190" t="s">
        <v>10</v>
      </c>
      <c r="H1015" s="191" t="s">
        <v>11</v>
      </c>
      <c r="I1015" s="191" t="s">
        <v>12</v>
      </c>
      <c r="J1015" s="191" t="s">
        <v>13</v>
      </c>
      <c r="K1015" s="192"/>
      <c r="L1015" s="126"/>
      <c r="M1015" s="127"/>
      <c r="N1015" s="127"/>
    </row>
    <row r="1016" spans="1:35" ht="16.5" thickBot="1" x14ac:dyDescent="0.3">
      <c r="A1016" s="442"/>
      <c r="B1016" s="443"/>
      <c r="C1016" s="443"/>
      <c r="D1016" s="444"/>
      <c r="E1016" s="86"/>
      <c r="F1016" s="140">
        <f>F1014+F993</f>
        <v>138286.40000000002</v>
      </c>
      <c r="G1016" s="140"/>
      <c r="H1016" s="140">
        <f>H1014+H993</f>
        <v>0</v>
      </c>
      <c r="I1016" s="140">
        <f>I1014+I993</f>
        <v>127928.3</v>
      </c>
      <c r="J1016" s="140">
        <f>J1014+J993</f>
        <v>10358.099999999999</v>
      </c>
      <c r="K1016" s="51"/>
    </row>
    <row r="1017" spans="1:35" ht="18" x14ac:dyDescent="0.2">
      <c r="A1017" s="428" t="s">
        <v>299</v>
      </c>
      <c r="B1017" s="411"/>
      <c r="C1017" s="411"/>
      <c r="D1017" s="411"/>
      <c r="E1017" s="411"/>
      <c r="F1017" s="411"/>
      <c r="G1017" s="411"/>
      <c r="H1017" s="411"/>
      <c r="I1017" s="411"/>
      <c r="J1017" s="411"/>
      <c r="K1017" s="411"/>
      <c r="L1017" s="40"/>
      <c r="M1017" s="40"/>
      <c r="N1017" s="40"/>
      <c r="O1017" s="40"/>
      <c r="P1017" s="40"/>
      <c r="Q1017" s="40"/>
      <c r="R1017" s="40"/>
      <c r="S1017" s="40"/>
      <c r="T1017" s="40"/>
      <c r="U1017" s="40"/>
      <c r="V1017" s="40"/>
      <c r="W1017" s="38"/>
      <c r="X1017" s="38"/>
      <c r="Y1017" s="38"/>
      <c r="Z1017" s="38"/>
      <c r="AA1017" s="38"/>
      <c r="AB1017" s="38"/>
      <c r="AC1017" s="38"/>
      <c r="AD1017" s="38"/>
      <c r="AE1017" s="38"/>
      <c r="AF1017" s="38"/>
      <c r="AG1017" s="38"/>
      <c r="AH1017" s="38"/>
      <c r="AI1017" s="39"/>
    </row>
    <row r="1018" spans="1:35" ht="30" customHeight="1" thickBot="1" x14ac:dyDescent="0.25">
      <c r="A1018" s="412" t="s">
        <v>300</v>
      </c>
      <c r="B1018" s="413"/>
      <c r="C1018" s="413"/>
      <c r="D1018" s="413"/>
      <c r="E1018" s="360"/>
      <c r="F1018" s="360"/>
      <c r="G1018" s="360"/>
      <c r="H1018" s="360"/>
      <c r="I1018" s="360"/>
      <c r="J1018" s="360"/>
      <c r="K1018" s="360"/>
      <c r="L1018" s="57"/>
      <c r="M1018" s="57"/>
      <c r="N1018" s="57"/>
      <c r="O1018" s="57"/>
      <c r="P1018" s="57"/>
      <c r="Q1018" s="57"/>
      <c r="R1018" s="57"/>
      <c r="S1018" s="57"/>
      <c r="T1018" s="57"/>
      <c r="U1018" s="57"/>
      <c r="V1018" s="57"/>
      <c r="W1018" s="83"/>
      <c r="X1018" s="83"/>
      <c r="Y1018" s="83"/>
      <c r="Z1018" s="83"/>
      <c r="AA1018" s="83"/>
      <c r="AB1018" s="83"/>
      <c r="AC1018" s="83"/>
      <c r="AD1018" s="83"/>
      <c r="AE1018" s="83"/>
      <c r="AF1018" s="83"/>
      <c r="AG1018" s="83"/>
      <c r="AH1018" s="83"/>
      <c r="AI1018" s="84"/>
    </row>
    <row r="1019" spans="1:35" ht="18" customHeight="1" x14ac:dyDescent="0.25">
      <c r="A1019" s="385" t="s">
        <v>100</v>
      </c>
      <c r="B1019" s="415" t="s">
        <v>301</v>
      </c>
      <c r="C1019" s="272" t="s">
        <v>396</v>
      </c>
      <c r="D1019" s="248" t="s">
        <v>449</v>
      </c>
      <c r="E1019" s="222">
        <v>2017</v>
      </c>
      <c r="F1019" s="142">
        <f t="shared" ref="F1019:F1022" si="184">SUM(G1019:J1019)</f>
        <v>28240.7</v>
      </c>
      <c r="G1019" s="7"/>
      <c r="H1019" s="7"/>
      <c r="I1019" s="7">
        <f>25971.2+2269.5</f>
        <v>28240.7</v>
      </c>
      <c r="J1019" s="7">
        <v>0</v>
      </c>
      <c r="K1019" s="419" t="s">
        <v>376</v>
      </c>
      <c r="L1019" s="28"/>
      <c r="M1019" s="28"/>
      <c r="N1019" s="28"/>
      <c r="O1019" s="28"/>
      <c r="P1019" s="28"/>
      <c r="Q1019" s="28"/>
      <c r="R1019" s="28"/>
      <c r="S1019" s="28"/>
      <c r="T1019" s="28"/>
      <c r="U1019" s="28"/>
      <c r="V1019" s="28"/>
    </row>
    <row r="1020" spans="1:35" ht="18" customHeight="1" x14ac:dyDescent="0.25">
      <c r="A1020" s="386"/>
      <c r="B1020" s="416"/>
      <c r="C1020" s="284"/>
      <c r="D1020" s="261"/>
      <c r="E1020" s="222">
        <v>2018</v>
      </c>
      <c r="F1020" s="156">
        <f t="shared" si="184"/>
        <v>31523.7</v>
      </c>
      <c r="G1020" s="7"/>
      <c r="H1020" s="7"/>
      <c r="I1020" s="7">
        <f>28601+2922.7</f>
        <v>31523.7</v>
      </c>
      <c r="J1020" s="7">
        <v>0</v>
      </c>
      <c r="K1020" s="429"/>
      <c r="L1020" s="28"/>
      <c r="M1020" s="28"/>
      <c r="N1020" s="28"/>
      <c r="O1020" s="28"/>
      <c r="P1020" s="28"/>
      <c r="Q1020" s="28"/>
      <c r="R1020" s="28"/>
      <c r="S1020" s="28"/>
      <c r="T1020" s="28"/>
      <c r="U1020" s="28"/>
      <c r="V1020" s="28"/>
    </row>
    <row r="1021" spans="1:35" ht="18" customHeight="1" x14ac:dyDescent="0.25">
      <c r="A1021" s="386"/>
      <c r="B1021" s="416"/>
      <c r="C1021" s="284"/>
      <c r="D1021" s="261"/>
      <c r="E1021" s="222">
        <v>2019</v>
      </c>
      <c r="F1021" s="156">
        <f t="shared" si="184"/>
        <v>39247.599999999999</v>
      </c>
      <c r="G1021" s="7"/>
      <c r="H1021" s="7"/>
      <c r="I1021" s="7">
        <f>34762.5+2859.1+1226+400</f>
        <v>39247.599999999999</v>
      </c>
      <c r="J1021" s="7">
        <v>0</v>
      </c>
      <c r="K1021" s="429"/>
      <c r="L1021" s="99"/>
    </row>
    <row r="1022" spans="1:35" ht="18" customHeight="1" x14ac:dyDescent="0.25">
      <c r="A1022" s="386"/>
      <c r="B1022" s="416"/>
      <c r="C1022" s="284"/>
      <c r="D1022" s="261"/>
      <c r="E1022" s="222">
        <v>2020</v>
      </c>
      <c r="F1022" s="156">
        <f t="shared" si="184"/>
        <v>38202</v>
      </c>
      <c r="G1022" s="7"/>
      <c r="H1022" s="7"/>
      <c r="I1022" s="7">
        <f>33512.5+3834.5+855</f>
        <v>38202</v>
      </c>
      <c r="J1022" s="7">
        <v>0</v>
      </c>
      <c r="K1022" s="429"/>
      <c r="L1022" s="99"/>
    </row>
    <row r="1023" spans="1:35" ht="18" customHeight="1" x14ac:dyDescent="0.25">
      <c r="A1023" s="414"/>
      <c r="B1023" s="417"/>
      <c r="C1023" s="356"/>
      <c r="D1023" s="261"/>
      <c r="E1023" s="222">
        <v>2021</v>
      </c>
      <c r="F1023" s="142">
        <f t="shared" ref="F1023:F1026" si="185">SUM(G1023:J1023)</f>
        <v>34657</v>
      </c>
      <c r="G1023" s="7"/>
      <c r="H1023" s="7"/>
      <c r="I1023" s="7">
        <f>33512.5+3851.5-2707</f>
        <v>34657</v>
      </c>
      <c r="J1023" s="7">
        <v>0</v>
      </c>
      <c r="K1023" s="429"/>
      <c r="L1023" s="28"/>
      <c r="M1023" s="28"/>
      <c r="N1023" s="28"/>
      <c r="O1023" s="28"/>
      <c r="P1023" s="28"/>
      <c r="Q1023" s="28"/>
      <c r="R1023" s="28"/>
      <c r="S1023" s="28"/>
      <c r="T1023" s="28"/>
      <c r="U1023" s="28"/>
      <c r="V1023" s="28"/>
    </row>
    <row r="1024" spans="1:35" ht="18" customHeight="1" x14ac:dyDescent="0.25">
      <c r="A1024" s="414"/>
      <c r="B1024" s="417"/>
      <c r="C1024" s="356"/>
      <c r="D1024" s="261"/>
      <c r="E1024" s="222">
        <v>2022</v>
      </c>
      <c r="F1024" s="156">
        <f t="shared" si="185"/>
        <v>34558</v>
      </c>
      <c r="G1024" s="7"/>
      <c r="H1024" s="7"/>
      <c r="I1024" s="7">
        <f>34853-2234+1939</f>
        <v>34558</v>
      </c>
      <c r="J1024" s="7">
        <v>0</v>
      </c>
      <c r="K1024" s="429"/>
      <c r="L1024" s="28"/>
      <c r="M1024" s="28"/>
      <c r="N1024" s="28"/>
      <c r="O1024" s="28"/>
      <c r="P1024" s="28"/>
      <c r="Q1024" s="28"/>
      <c r="R1024" s="28"/>
      <c r="S1024" s="28"/>
      <c r="T1024" s="28"/>
      <c r="U1024" s="28"/>
      <c r="V1024" s="28"/>
    </row>
    <row r="1025" spans="1:35" ht="18" customHeight="1" x14ac:dyDescent="0.25">
      <c r="A1025" s="414"/>
      <c r="B1025" s="417"/>
      <c r="C1025" s="356"/>
      <c r="D1025" s="261"/>
      <c r="E1025" s="222">
        <v>2023</v>
      </c>
      <c r="F1025" s="156">
        <f t="shared" si="185"/>
        <v>20734</v>
      </c>
      <c r="G1025" s="7"/>
      <c r="H1025" s="7"/>
      <c r="I1025" s="7">
        <f>36247-15513</f>
        <v>20734</v>
      </c>
      <c r="J1025" s="7">
        <v>0</v>
      </c>
      <c r="K1025" s="429"/>
      <c r="L1025" s="99"/>
    </row>
    <row r="1026" spans="1:35" ht="18" customHeight="1" x14ac:dyDescent="0.25">
      <c r="A1026" s="414"/>
      <c r="B1026" s="417"/>
      <c r="C1026" s="356"/>
      <c r="D1026" s="261"/>
      <c r="E1026" s="222">
        <v>2024</v>
      </c>
      <c r="F1026" s="156">
        <f t="shared" si="185"/>
        <v>37697</v>
      </c>
      <c r="G1026" s="7"/>
      <c r="H1026" s="7"/>
      <c r="I1026" s="7">
        <v>37697</v>
      </c>
      <c r="J1026" s="7">
        <v>0</v>
      </c>
      <c r="K1026" s="429"/>
      <c r="L1026" s="99"/>
    </row>
    <row r="1027" spans="1:35" ht="18" customHeight="1" x14ac:dyDescent="0.25">
      <c r="A1027" s="414"/>
      <c r="B1027" s="417"/>
      <c r="C1027" s="356"/>
      <c r="D1027" s="261"/>
      <c r="E1027" s="222">
        <v>2025</v>
      </c>
      <c r="F1027" s="156">
        <f t="shared" ref="F1027" si="186">SUM(G1027:J1027)</f>
        <v>39205</v>
      </c>
      <c r="G1027" s="7"/>
      <c r="H1027" s="7"/>
      <c r="I1027" s="7">
        <v>39205</v>
      </c>
      <c r="J1027" s="7">
        <v>0</v>
      </c>
      <c r="K1027" s="429"/>
      <c r="L1027" s="99"/>
    </row>
    <row r="1028" spans="1:35" ht="18" customHeight="1" x14ac:dyDescent="0.2">
      <c r="A1028" s="414"/>
      <c r="B1028" s="417"/>
      <c r="C1028" s="356"/>
      <c r="D1028" s="261"/>
      <c r="E1028" s="18" t="s">
        <v>18</v>
      </c>
      <c r="F1028" s="141">
        <f>SUM(F1019:F1027)</f>
        <v>304065</v>
      </c>
      <c r="G1028" s="141"/>
      <c r="H1028" s="141">
        <f>SUM(H1019:H1022)</f>
        <v>0</v>
      </c>
      <c r="I1028" s="141">
        <f>SUM(I1019:I1027)</f>
        <v>304065</v>
      </c>
      <c r="J1028" s="141">
        <f>SUM(J1019:J1022)</f>
        <v>0</v>
      </c>
      <c r="K1028" s="430"/>
    </row>
    <row r="1029" spans="1:35" ht="25.5" x14ac:dyDescent="0.2">
      <c r="A1029" s="387" t="s">
        <v>193</v>
      </c>
      <c r="B1029" s="380"/>
      <c r="C1029" s="380"/>
      <c r="D1029" s="380"/>
      <c r="E1029" s="6" t="s">
        <v>396</v>
      </c>
      <c r="F1029" s="158">
        <f>SUM(F1019:F1027)</f>
        <v>304065</v>
      </c>
      <c r="G1029" s="147"/>
      <c r="H1029" s="8">
        <f>SUM(H1019:H1022)</f>
        <v>0</v>
      </c>
      <c r="I1029" s="8">
        <f>SUM(I1019:I1027)</f>
        <v>304065</v>
      </c>
      <c r="J1029" s="147"/>
      <c r="K1029" s="6"/>
    </row>
    <row r="1030" spans="1:35" ht="18" customHeight="1" thickBot="1" x14ac:dyDescent="0.25">
      <c r="A1030" s="412" t="s">
        <v>302</v>
      </c>
      <c r="B1030" s="413"/>
      <c r="C1030" s="413"/>
      <c r="D1030" s="413"/>
      <c r="E1030" s="360"/>
      <c r="F1030" s="360"/>
      <c r="G1030" s="360"/>
      <c r="H1030" s="360"/>
      <c r="I1030" s="360"/>
      <c r="J1030" s="360"/>
      <c r="K1030" s="360"/>
      <c r="L1030" s="57"/>
      <c r="M1030" s="57"/>
      <c r="N1030" s="57"/>
      <c r="O1030" s="57"/>
      <c r="P1030" s="57"/>
      <c r="Q1030" s="57"/>
      <c r="R1030" s="57"/>
      <c r="S1030" s="57"/>
      <c r="T1030" s="57"/>
      <c r="U1030" s="57"/>
      <c r="V1030" s="57"/>
      <c r="W1030" s="83"/>
      <c r="X1030" s="83"/>
      <c r="Y1030" s="83"/>
      <c r="Z1030" s="83"/>
      <c r="AA1030" s="83"/>
      <c r="AB1030" s="83"/>
      <c r="AC1030" s="83"/>
      <c r="AD1030" s="83"/>
      <c r="AE1030" s="83"/>
      <c r="AF1030" s="83"/>
      <c r="AG1030" s="83"/>
      <c r="AH1030" s="83"/>
      <c r="AI1030" s="84"/>
    </row>
    <row r="1031" spans="1:35" ht="18" customHeight="1" x14ac:dyDescent="0.25">
      <c r="A1031" s="385" t="s">
        <v>107</v>
      </c>
      <c r="B1031" s="415" t="s">
        <v>306</v>
      </c>
      <c r="C1031" s="272" t="s">
        <v>396</v>
      </c>
      <c r="D1031" s="248" t="s">
        <v>449</v>
      </c>
      <c r="E1031" s="222">
        <v>2017</v>
      </c>
      <c r="F1031" s="142">
        <f t="shared" ref="F1031:F1034" si="187">SUM(G1031:J1031)</f>
        <v>21630.400000000001</v>
      </c>
      <c r="G1031" s="7"/>
      <c r="H1031" s="7"/>
      <c r="I1031" s="7">
        <f>20880.4+750</f>
        <v>21630.400000000001</v>
      </c>
      <c r="J1031" s="7">
        <v>0</v>
      </c>
      <c r="K1031" s="419" t="s">
        <v>377</v>
      </c>
      <c r="L1031" s="28"/>
      <c r="M1031" s="28"/>
      <c r="N1031" s="28"/>
      <c r="O1031" s="28"/>
      <c r="P1031" s="28"/>
      <c r="Q1031" s="28"/>
      <c r="R1031" s="28"/>
      <c r="S1031" s="28"/>
      <c r="T1031" s="28"/>
      <c r="U1031" s="28"/>
      <c r="V1031" s="28"/>
    </row>
    <row r="1032" spans="1:35" ht="18" customHeight="1" x14ac:dyDescent="0.25">
      <c r="A1032" s="386"/>
      <c r="B1032" s="416"/>
      <c r="C1032" s="284"/>
      <c r="D1032" s="261"/>
      <c r="E1032" s="222">
        <v>2018</v>
      </c>
      <c r="F1032" s="156">
        <f t="shared" si="187"/>
        <v>23781.399999999998</v>
      </c>
      <c r="G1032" s="7"/>
      <c r="H1032" s="7"/>
      <c r="I1032" s="7">
        <f>23157.1+624.3</f>
        <v>23781.399999999998</v>
      </c>
      <c r="J1032" s="7">
        <v>0</v>
      </c>
      <c r="K1032" s="420"/>
      <c r="L1032" s="28"/>
      <c r="M1032" s="28"/>
      <c r="N1032" s="28"/>
      <c r="O1032" s="28"/>
      <c r="P1032" s="28"/>
      <c r="Q1032" s="28"/>
      <c r="R1032" s="28"/>
      <c r="S1032" s="28"/>
      <c r="T1032" s="28"/>
      <c r="U1032" s="28"/>
      <c r="V1032" s="28"/>
    </row>
    <row r="1033" spans="1:35" ht="18" customHeight="1" x14ac:dyDescent="0.25">
      <c r="A1033" s="386"/>
      <c r="B1033" s="416"/>
      <c r="C1033" s="284"/>
      <c r="D1033" s="261"/>
      <c r="E1033" s="222">
        <v>2019</v>
      </c>
      <c r="F1033" s="156">
        <f t="shared" si="187"/>
        <v>28828.400000000001</v>
      </c>
      <c r="G1033" s="7"/>
      <c r="H1033" s="7"/>
      <c r="I1033" s="7">
        <f>27966+1129-140-126.6</f>
        <v>28828.400000000001</v>
      </c>
      <c r="J1033" s="7">
        <v>0</v>
      </c>
      <c r="K1033" s="420"/>
      <c r="L1033" s="99"/>
    </row>
    <row r="1034" spans="1:35" ht="18" customHeight="1" x14ac:dyDescent="0.25">
      <c r="A1034" s="386"/>
      <c r="B1034" s="416"/>
      <c r="C1034" s="284"/>
      <c r="D1034" s="261"/>
      <c r="E1034" s="222">
        <v>2020</v>
      </c>
      <c r="F1034" s="156">
        <f t="shared" si="187"/>
        <v>30287.9</v>
      </c>
      <c r="G1034" s="7"/>
      <c r="H1034" s="7"/>
      <c r="I1034" s="7">
        <f>24671.9-2540+7269.3+886.7</f>
        <v>30287.9</v>
      </c>
      <c r="J1034" s="7">
        <v>0</v>
      </c>
      <c r="K1034" s="420"/>
      <c r="L1034" s="99"/>
    </row>
    <row r="1035" spans="1:35" ht="18" customHeight="1" x14ac:dyDescent="0.25">
      <c r="A1035" s="414"/>
      <c r="B1035" s="417"/>
      <c r="C1035" s="356"/>
      <c r="D1035" s="261"/>
      <c r="E1035" s="222">
        <v>2021</v>
      </c>
      <c r="F1035" s="142">
        <f t="shared" ref="F1035:F1038" si="188">SUM(G1035:J1035)</f>
        <v>30248.400000000001</v>
      </c>
      <c r="G1035" s="7"/>
      <c r="H1035" s="7"/>
      <c r="I1035" s="7">
        <f>24131.6-9000+11641.9-12662.3+16137.2</f>
        <v>30248.400000000001</v>
      </c>
      <c r="J1035" s="7">
        <v>0</v>
      </c>
      <c r="K1035" s="420"/>
      <c r="L1035" s="28"/>
      <c r="M1035" s="28"/>
      <c r="N1035" s="28"/>
      <c r="O1035" s="28"/>
      <c r="P1035" s="28"/>
      <c r="Q1035" s="28"/>
      <c r="R1035" s="28"/>
      <c r="S1035" s="28"/>
      <c r="T1035" s="28"/>
      <c r="U1035" s="28"/>
      <c r="V1035" s="28"/>
    </row>
    <row r="1036" spans="1:35" ht="18" customHeight="1" x14ac:dyDescent="0.25">
      <c r="A1036" s="414"/>
      <c r="B1036" s="417"/>
      <c r="C1036" s="356"/>
      <c r="D1036" s="261"/>
      <c r="E1036" s="222">
        <v>2022</v>
      </c>
      <c r="F1036" s="156">
        <f t="shared" si="188"/>
        <v>25781.3</v>
      </c>
      <c r="G1036" s="7"/>
      <c r="H1036" s="7"/>
      <c r="I1036" s="7">
        <f>25096.9-2135.9+2820.3</f>
        <v>25781.3</v>
      </c>
      <c r="J1036" s="7">
        <v>0</v>
      </c>
      <c r="K1036" s="420"/>
      <c r="L1036" s="28"/>
      <c r="M1036" s="28"/>
      <c r="N1036" s="28"/>
      <c r="O1036" s="28"/>
      <c r="P1036" s="28"/>
      <c r="Q1036" s="28"/>
      <c r="R1036" s="28"/>
      <c r="S1036" s="28"/>
      <c r="T1036" s="28"/>
      <c r="U1036" s="28"/>
      <c r="V1036" s="28"/>
    </row>
    <row r="1037" spans="1:35" ht="18" customHeight="1" x14ac:dyDescent="0.25">
      <c r="A1037" s="414"/>
      <c r="B1037" s="417"/>
      <c r="C1037" s="356"/>
      <c r="D1037" s="261"/>
      <c r="E1037" s="222">
        <v>2023</v>
      </c>
      <c r="F1037" s="156">
        <f t="shared" si="188"/>
        <v>15129</v>
      </c>
      <c r="G1037" s="7"/>
      <c r="H1037" s="7"/>
      <c r="I1037" s="7">
        <f>26100-10971</f>
        <v>15129</v>
      </c>
      <c r="J1037" s="7">
        <v>0</v>
      </c>
      <c r="K1037" s="420"/>
      <c r="L1037" s="99"/>
    </row>
    <row r="1038" spans="1:35" ht="18" customHeight="1" x14ac:dyDescent="0.25">
      <c r="A1038" s="414"/>
      <c r="B1038" s="417"/>
      <c r="C1038" s="356"/>
      <c r="D1038" s="261"/>
      <c r="E1038" s="222">
        <v>2024</v>
      </c>
      <c r="F1038" s="156">
        <f t="shared" si="188"/>
        <v>27144</v>
      </c>
      <c r="G1038" s="7"/>
      <c r="H1038" s="7"/>
      <c r="I1038" s="7">
        <v>27144</v>
      </c>
      <c r="J1038" s="7">
        <v>0</v>
      </c>
      <c r="K1038" s="420"/>
      <c r="L1038" s="99"/>
    </row>
    <row r="1039" spans="1:35" ht="18" customHeight="1" x14ac:dyDescent="0.25">
      <c r="A1039" s="414"/>
      <c r="B1039" s="417"/>
      <c r="C1039" s="356"/>
      <c r="D1039" s="261"/>
      <c r="E1039" s="222">
        <v>2025</v>
      </c>
      <c r="F1039" s="156">
        <f t="shared" ref="F1039" si="189">SUM(G1039:J1039)</f>
        <v>28230</v>
      </c>
      <c r="G1039" s="7"/>
      <c r="H1039" s="7"/>
      <c r="I1039" s="7">
        <v>28230</v>
      </c>
      <c r="J1039" s="7">
        <v>0</v>
      </c>
      <c r="K1039" s="420"/>
      <c r="L1039" s="99"/>
    </row>
    <row r="1040" spans="1:35" ht="18" customHeight="1" x14ac:dyDescent="0.2">
      <c r="A1040" s="414"/>
      <c r="B1040" s="417"/>
      <c r="C1040" s="356"/>
      <c r="D1040" s="261"/>
      <c r="E1040" s="18" t="s">
        <v>18</v>
      </c>
      <c r="F1040" s="141">
        <f>SUM(F1031:F1039)</f>
        <v>231060.8</v>
      </c>
      <c r="G1040" s="141"/>
      <c r="H1040" s="141">
        <f>SUM(H1031:H1034)</f>
        <v>0</v>
      </c>
      <c r="I1040" s="141">
        <f>SUM(I1031:I1039)</f>
        <v>231060.8</v>
      </c>
      <c r="J1040" s="141">
        <f>SUM(J1031:J1034)</f>
        <v>0</v>
      </c>
      <c r="K1040" s="421"/>
    </row>
    <row r="1041" spans="1:35" ht="25.5" x14ac:dyDescent="0.2">
      <c r="A1041" s="387" t="s">
        <v>196</v>
      </c>
      <c r="B1041" s="380"/>
      <c r="C1041" s="380"/>
      <c r="D1041" s="380"/>
      <c r="E1041" s="6" t="s">
        <v>396</v>
      </c>
      <c r="F1041" s="158">
        <f>SUM(F1031:F1039)</f>
        <v>231060.8</v>
      </c>
      <c r="G1041" s="147"/>
      <c r="H1041" s="8">
        <f>SUM(H1031:H1034)</f>
        <v>0</v>
      </c>
      <c r="I1041" s="8">
        <f>SUM(I1031:I1039)</f>
        <v>231060.8</v>
      </c>
      <c r="J1041" s="147"/>
      <c r="K1041" s="6"/>
    </row>
    <row r="1042" spans="1:35" ht="30" customHeight="1" thickBot="1" x14ac:dyDescent="0.25">
      <c r="A1042" s="412" t="s">
        <v>303</v>
      </c>
      <c r="B1042" s="413"/>
      <c r="C1042" s="413"/>
      <c r="D1042" s="413"/>
      <c r="E1042" s="360"/>
      <c r="F1042" s="360"/>
      <c r="G1042" s="360"/>
      <c r="H1042" s="360"/>
      <c r="I1042" s="360"/>
      <c r="J1042" s="360"/>
      <c r="K1042" s="360"/>
      <c r="L1042" s="57"/>
      <c r="M1042" s="57"/>
      <c r="N1042" s="57"/>
      <c r="O1042" s="57"/>
      <c r="P1042" s="57"/>
      <c r="Q1042" s="57"/>
      <c r="R1042" s="57"/>
      <c r="S1042" s="57"/>
      <c r="T1042" s="57"/>
      <c r="U1042" s="57"/>
      <c r="V1042" s="57"/>
      <c r="W1042" s="83"/>
      <c r="X1042" s="83"/>
      <c r="Y1042" s="83"/>
      <c r="Z1042" s="83"/>
      <c r="AA1042" s="83"/>
      <c r="AB1042" s="83"/>
      <c r="AC1042" s="83"/>
      <c r="AD1042" s="83"/>
      <c r="AE1042" s="83"/>
      <c r="AF1042" s="83"/>
      <c r="AG1042" s="83"/>
      <c r="AH1042" s="83"/>
      <c r="AI1042" s="84"/>
    </row>
    <row r="1043" spans="1:35" ht="18" customHeight="1" x14ac:dyDescent="0.25">
      <c r="A1043" s="385" t="s">
        <v>380</v>
      </c>
      <c r="B1043" s="415" t="s">
        <v>304</v>
      </c>
      <c r="C1043" s="272" t="s">
        <v>396</v>
      </c>
      <c r="D1043" s="248" t="s">
        <v>449</v>
      </c>
      <c r="E1043" s="222">
        <v>2017</v>
      </c>
      <c r="F1043" s="142">
        <f t="shared" ref="F1043:F1046" si="190">SUM(G1043:J1043)</f>
        <v>10020.200000000001</v>
      </c>
      <c r="G1043" s="7"/>
      <c r="H1043" s="7"/>
      <c r="I1043" s="7">
        <f>9704.7+315.5</f>
        <v>10020.200000000001</v>
      </c>
      <c r="J1043" s="7">
        <v>0</v>
      </c>
      <c r="K1043" s="419" t="s">
        <v>378</v>
      </c>
      <c r="L1043" s="28"/>
      <c r="M1043" s="28"/>
      <c r="N1043" s="28"/>
      <c r="O1043" s="28"/>
      <c r="P1043" s="28"/>
      <c r="Q1043" s="28"/>
      <c r="R1043" s="28"/>
      <c r="S1043" s="28"/>
      <c r="T1043" s="28"/>
      <c r="U1043" s="28"/>
      <c r="V1043" s="28"/>
    </row>
    <row r="1044" spans="1:35" ht="18" customHeight="1" x14ac:dyDescent="0.25">
      <c r="A1044" s="386"/>
      <c r="B1044" s="416"/>
      <c r="C1044" s="284"/>
      <c r="D1044" s="261"/>
      <c r="E1044" s="222">
        <v>2018</v>
      </c>
      <c r="F1044" s="156">
        <f t="shared" si="190"/>
        <v>10139.9</v>
      </c>
      <c r="G1044" s="7"/>
      <c r="H1044" s="7"/>
      <c r="I1044" s="7">
        <f>10014.3+125.6</f>
        <v>10139.9</v>
      </c>
      <c r="J1044" s="7">
        <v>0</v>
      </c>
      <c r="K1044" s="420"/>
      <c r="L1044" s="28"/>
      <c r="M1044" s="28"/>
      <c r="N1044" s="28"/>
      <c r="O1044" s="28"/>
      <c r="P1044" s="28"/>
      <c r="Q1044" s="28"/>
      <c r="R1044" s="28"/>
      <c r="S1044" s="28"/>
      <c r="T1044" s="28"/>
      <c r="U1044" s="28"/>
      <c r="V1044" s="28"/>
    </row>
    <row r="1045" spans="1:35" ht="18" customHeight="1" x14ac:dyDescent="0.25">
      <c r="A1045" s="386"/>
      <c r="B1045" s="416"/>
      <c r="C1045" s="284"/>
      <c r="D1045" s="261"/>
      <c r="E1045" s="222">
        <v>2019</v>
      </c>
      <c r="F1045" s="156">
        <f t="shared" si="190"/>
        <v>11783.099999999999</v>
      </c>
      <c r="G1045" s="7"/>
      <c r="H1045" s="7"/>
      <c r="I1045" s="7">
        <f>11399.3+382-20+21.8</f>
        <v>11783.099999999999</v>
      </c>
      <c r="J1045" s="7">
        <v>0</v>
      </c>
      <c r="K1045" s="420"/>
      <c r="L1045" s="99"/>
    </row>
    <row r="1046" spans="1:35" ht="18" customHeight="1" x14ac:dyDescent="0.25">
      <c r="A1046" s="386"/>
      <c r="B1046" s="416"/>
      <c r="C1046" s="284"/>
      <c r="D1046" s="261"/>
      <c r="E1046" s="222">
        <v>2020</v>
      </c>
      <c r="F1046" s="156">
        <f t="shared" si="190"/>
        <v>11915.3</v>
      </c>
      <c r="G1046" s="7"/>
      <c r="H1046" s="7"/>
      <c r="I1046" s="7">
        <f>10602.8+1333.6-21.1</f>
        <v>11915.3</v>
      </c>
      <c r="J1046" s="7">
        <v>0</v>
      </c>
      <c r="K1046" s="420"/>
      <c r="L1046" s="99"/>
    </row>
    <row r="1047" spans="1:35" ht="18" customHeight="1" x14ac:dyDescent="0.25">
      <c r="A1047" s="414"/>
      <c r="B1047" s="417"/>
      <c r="C1047" s="356"/>
      <c r="D1047" s="261"/>
      <c r="E1047" s="222">
        <v>2021</v>
      </c>
      <c r="F1047" s="142">
        <f t="shared" ref="F1047:F1050" si="191">SUM(G1047:J1047)</f>
        <v>11167.300000000001</v>
      </c>
      <c r="G1047" s="7"/>
      <c r="H1047" s="7"/>
      <c r="I1047" s="7">
        <f>10108+926.6-3225.9+3358.6</f>
        <v>11167.300000000001</v>
      </c>
      <c r="J1047" s="7">
        <v>0</v>
      </c>
      <c r="K1047" s="420"/>
      <c r="L1047" s="28"/>
      <c r="M1047" s="28"/>
      <c r="N1047" s="28"/>
      <c r="O1047" s="28"/>
      <c r="P1047" s="28"/>
      <c r="Q1047" s="28"/>
      <c r="R1047" s="28"/>
      <c r="S1047" s="28"/>
      <c r="T1047" s="28"/>
      <c r="U1047" s="28"/>
      <c r="V1047" s="28"/>
    </row>
    <row r="1048" spans="1:35" ht="18" customHeight="1" x14ac:dyDescent="0.25">
      <c r="A1048" s="414"/>
      <c r="B1048" s="417"/>
      <c r="C1048" s="356"/>
      <c r="D1048" s="261"/>
      <c r="E1048" s="222">
        <v>2022</v>
      </c>
      <c r="F1048" s="156">
        <f t="shared" si="191"/>
        <v>10325.9</v>
      </c>
      <c r="G1048" s="7"/>
      <c r="H1048" s="7"/>
      <c r="I1048" s="7">
        <f>10512.3+2991.7-3178.1</f>
        <v>10325.9</v>
      </c>
      <c r="J1048" s="7">
        <v>0</v>
      </c>
      <c r="K1048" s="420"/>
      <c r="L1048" s="28"/>
      <c r="M1048" s="28"/>
      <c r="N1048" s="28"/>
      <c r="O1048" s="28"/>
      <c r="P1048" s="28"/>
      <c r="Q1048" s="28"/>
      <c r="R1048" s="28"/>
      <c r="S1048" s="28"/>
      <c r="T1048" s="28"/>
      <c r="U1048" s="28"/>
      <c r="V1048" s="28"/>
    </row>
    <row r="1049" spans="1:35" ht="18" customHeight="1" x14ac:dyDescent="0.25">
      <c r="A1049" s="414"/>
      <c r="B1049" s="417"/>
      <c r="C1049" s="356"/>
      <c r="D1049" s="261"/>
      <c r="E1049" s="222">
        <v>2023</v>
      </c>
      <c r="F1049" s="156">
        <f t="shared" si="191"/>
        <v>6934</v>
      </c>
      <c r="G1049" s="7"/>
      <c r="H1049" s="7"/>
      <c r="I1049" s="7">
        <f>10933-3999</f>
        <v>6934</v>
      </c>
      <c r="J1049" s="7">
        <v>0</v>
      </c>
      <c r="K1049" s="420"/>
      <c r="L1049" s="99"/>
    </row>
    <row r="1050" spans="1:35" ht="18" customHeight="1" x14ac:dyDescent="0.25">
      <c r="A1050" s="414"/>
      <c r="B1050" s="417"/>
      <c r="C1050" s="356"/>
      <c r="D1050" s="261"/>
      <c r="E1050" s="222">
        <v>2024</v>
      </c>
      <c r="F1050" s="156">
        <f t="shared" si="191"/>
        <v>11370</v>
      </c>
      <c r="G1050" s="7"/>
      <c r="H1050" s="7"/>
      <c r="I1050" s="7">
        <v>11370</v>
      </c>
      <c r="J1050" s="7">
        <v>0</v>
      </c>
      <c r="K1050" s="420"/>
      <c r="L1050" s="99"/>
    </row>
    <row r="1051" spans="1:35" ht="18" customHeight="1" x14ac:dyDescent="0.25">
      <c r="A1051" s="414"/>
      <c r="B1051" s="417"/>
      <c r="C1051" s="356"/>
      <c r="D1051" s="261"/>
      <c r="E1051" s="222">
        <v>2025</v>
      </c>
      <c r="F1051" s="156">
        <f t="shared" ref="F1051" si="192">SUM(G1051:J1051)</f>
        <v>11825</v>
      </c>
      <c r="G1051" s="7"/>
      <c r="H1051" s="7"/>
      <c r="I1051" s="7">
        <v>11825</v>
      </c>
      <c r="J1051" s="7">
        <v>0</v>
      </c>
      <c r="K1051" s="420"/>
      <c r="L1051" s="99"/>
    </row>
    <row r="1052" spans="1:35" ht="18" customHeight="1" x14ac:dyDescent="0.2">
      <c r="A1052" s="414"/>
      <c r="B1052" s="417"/>
      <c r="C1052" s="356"/>
      <c r="D1052" s="261"/>
      <c r="E1052" s="18" t="s">
        <v>18</v>
      </c>
      <c r="F1052" s="140">
        <f>SUM(F1043:F1051)</f>
        <v>95480.700000000012</v>
      </c>
      <c r="G1052" s="140"/>
      <c r="H1052" s="140">
        <f>SUM(H1043:H1046)</f>
        <v>0</v>
      </c>
      <c r="I1052" s="140">
        <f>SUM(I1043:I1051)</f>
        <v>95480.700000000012</v>
      </c>
      <c r="J1052" s="140">
        <f>SUM(J1043:J1046)</f>
        <v>0</v>
      </c>
      <c r="K1052" s="421"/>
    </row>
    <row r="1053" spans="1:35" ht="26.25" thickBot="1" x14ac:dyDescent="0.25">
      <c r="A1053" s="387" t="s">
        <v>184</v>
      </c>
      <c r="B1053" s="380"/>
      <c r="C1053" s="380"/>
      <c r="D1053" s="380"/>
      <c r="E1053" s="6" t="s">
        <v>396</v>
      </c>
      <c r="F1053" s="186">
        <f>SUM(F1043:F1051)</f>
        <v>95480.700000000012</v>
      </c>
      <c r="G1053" s="147"/>
      <c r="H1053" s="9">
        <f>SUM(H1043:H1046)</f>
        <v>0</v>
      </c>
      <c r="I1053" s="9">
        <f>SUM(I1043:I1051)</f>
        <v>95480.700000000012</v>
      </c>
      <c r="J1053" s="147"/>
      <c r="K1053" s="6"/>
    </row>
    <row r="1054" spans="1:35" ht="47.25" x14ac:dyDescent="0.25">
      <c r="A1054" s="422" t="s">
        <v>305</v>
      </c>
      <c r="B1054" s="423"/>
      <c r="C1054" s="423"/>
      <c r="D1054" s="424"/>
      <c r="E1054" s="198" t="s">
        <v>396</v>
      </c>
      <c r="F1054" s="198" t="s">
        <v>18</v>
      </c>
      <c r="G1054" s="199" t="s">
        <v>10</v>
      </c>
      <c r="H1054" s="200" t="s">
        <v>11</v>
      </c>
      <c r="I1054" s="200" t="s">
        <v>12</v>
      </c>
      <c r="J1054" s="200" t="s">
        <v>13</v>
      </c>
      <c r="K1054" s="201"/>
      <c r="L1054" s="107"/>
      <c r="M1054" s="99"/>
    </row>
    <row r="1055" spans="1:35" ht="16.5" thickBot="1" x14ac:dyDescent="0.3">
      <c r="A1055" s="425"/>
      <c r="B1055" s="426"/>
      <c r="C1055" s="426"/>
      <c r="D1055" s="427"/>
      <c r="E1055" s="202"/>
      <c r="F1055" s="197">
        <f>F1053+F1041+F1029</f>
        <v>630606.5</v>
      </c>
      <c r="G1055" s="197"/>
      <c r="H1055" s="197">
        <f>H1053+H1041+H1029</f>
        <v>0</v>
      </c>
      <c r="I1055" s="197">
        <f>I1053+I1041+I1029</f>
        <v>630606.5</v>
      </c>
      <c r="J1055" s="146">
        <f>J1053+J1041+J1029</f>
        <v>0</v>
      </c>
      <c r="K1055" s="51"/>
    </row>
    <row r="1056" spans="1:35" ht="47.25" x14ac:dyDescent="0.25">
      <c r="A1056" s="445" t="s">
        <v>109</v>
      </c>
      <c r="B1056" s="446"/>
      <c r="C1056" s="446"/>
      <c r="D1056" s="447"/>
      <c r="E1056" s="198" t="s">
        <v>121</v>
      </c>
      <c r="F1056" s="198" t="s">
        <v>18</v>
      </c>
      <c r="G1056" s="199" t="s">
        <v>10</v>
      </c>
      <c r="H1056" s="200" t="s">
        <v>11</v>
      </c>
      <c r="I1056" s="200" t="s">
        <v>12</v>
      </c>
      <c r="J1056" s="218" t="s">
        <v>13</v>
      </c>
      <c r="K1056" s="204"/>
    </row>
    <row r="1057" spans="1:18" ht="15" x14ac:dyDescent="0.25">
      <c r="A1057" s="448"/>
      <c r="B1057" s="449"/>
      <c r="C1057" s="449"/>
      <c r="D1057" s="450"/>
      <c r="E1057" s="222">
        <v>2015</v>
      </c>
      <c r="F1057" s="156">
        <f t="shared" ref="F1057:F1060" si="193">SUM(H1057:J1057)</f>
        <v>1157693.2999999998</v>
      </c>
      <c r="G1057" s="7"/>
      <c r="H1057" s="7">
        <f>H995+H981+H969+H957+H945+H907+H900+H893+H881+H869+H861+H851+H836+H824+H814+H802+H792+H785+H773+H761+H746+H738+H726+H714+H677+H667+H659+H652+H640+H629+H608+H582+H570+H563+H556+H543+H534+H506+H497+H473+H416+H404+H392+H360+H330+H290+H274+H244+H232+H229+H217+H162+H150+H114+H83+H50+H29+H22+H18+H16</f>
        <v>986489.1</v>
      </c>
      <c r="I1057" s="7">
        <f>I16+I18+I22+I29+I50+I57+I59+I83+I106+I114+I124+I134+I141+I150+I162+I174+I181+I217+I229+I244+I274+I290+I330+I360+I382+I392+I404+I416+I473+I497+I506+I534+I543+I556+I563+I570+I608+I629+I640+I652+I659+I667+I677+I714+I726+I738+I746+I761+I773+I785+I792+I802+I814+I824+I836+I851+I861+I869+I881+I893+I900+I907+I945+I957+I969+I981+I995+I582+I620</f>
        <v>170563.49999999997</v>
      </c>
      <c r="J1057" s="7">
        <f>J16+J18+J22+J29+J50+J57+J59+J83+J106+J114+J124+J134+J141+J150+J162+J174+J181+J217+J229+J244+J274+J290+J330+J360+J382+J392+J404+J416+J473+J497+J506+J534+J543+J556+J563+J570+J608+J629+J640+J652+J659+J667+J677+J714+J726+J738+J746+J761+J773+J785+J792+J802+J814+J824+J836+J851+J861+J869+J881+J893+J900+J907+J945+J957+J969+J981+J995</f>
        <v>640.69999999999993</v>
      </c>
      <c r="K1057" s="435"/>
    </row>
    <row r="1058" spans="1:18" ht="15" x14ac:dyDescent="0.25">
      <c r="A1058" s="448"/>
      <c r="B1058" s="449"/>
      <c r="C1058" s="449"/>
      <c r="D1058" s="450"/>
      <c r="E1058" s="222">
        <v>2016</v>
      </c>
      <c r="F1058" s="156">
        <f t="shared" si="193"/>
        <v>1134983.6000000001</v>
      </c>
      <c r="G1058" s="7"/>
      <c r="H1058" s="7">
        <f>H23+H30+H51+H60+H84+H107+H115+H125+H135+H142+H151+H163+H175+H182+H218+H230+H245+H275+H291+H331+H361+H383+H393+H405+H417+H474+H498+H507+H535+H544+H557+H564+H571+H609+H630+H641+H653+H660+H668+H678+H715+H727+H739+H747+H762+H774+H786+H793+H803+H815+H825+H837+H852+H862+H870+H882+H894+H901+H908+H946+H958+H970+H982+H996+H424+H202+H38+H254+H435</f>
        <v>934993.5</v>
      </c>
      <c r="I1058" s="7">
        <f>I23+I30+I51+I60+I84+I107+I115+I125+I135+I142+I151+I163+I175+I182+I218+I230+I245+I275+I291+I331+I361+I383+I393+I405+I417+I474+I498+I507+I535+I544+I557+I564+I571+I609+I630+I641+I653+I660+I668+I678+I715+I727+I739+I747+I762+I774+I786+I793+I803+I815+I825+I837+I852+I862+I870+I882+I894+I901+I908+I946+I958+I970+I982+I996+I621+I589+I282+I95+I424+I254+I38+I435</f>
        <v>199061.29999999996</v>
      </c>
      <c r="J1058" s="7">
        <f>J23+J30+J51+J60+J84+J107+J115+J125+J135+J142+J151+J163+J175+J182+J218+J230+J245+J275+J291+J331+J361+J383+J393+J405+J417+J474+J498+J507+J535+J544+J557+J564+J571+J609+J630+J641+J653+J660+J668+J678+J715+J727+J739+J747+J762+J774+J786+J793+J803+J815+J825+J837+J852+J862+J870+J882+J894+J901+J908+J946+J958+J970+J982+J996</f>
        <v>928.79999999999984</v>
      </c>
      <c r="K1058" s="436"/>
      <c r="P1058" s="4">
        <f>SUM(P1061:P1066)/1000</f>
        <v>9277.5</v>
      </c>
      <c r="R1058" s="107">
        <f>P1058+N1061</f>
        <v>-50685.600000000093</v>
      </c>
    </row>
    <row r="1059" spans="1:18" ht="15" x14ac:dyDescent="0.25">
      <c r="A1059" s="448"/>
      <c r="B1059" s="449"/>
      <c r="C1059" s="449"/>
      <c r="D1059" s="450"/>
      <c r="E1059" s="222">
        <v>2017</v>
      </c>
      <c r="F1059" s="156">
        <f t="shared" si="193"/>
        <v>1454809.5</v>
      </c>
      <c r="G1059" s="7"/>
      <c r="H1059" s="7">
        <f>H24+H31+H39+H42+H52+H61+H71+H85+H96+H108+H116+H126+H136+H143+H152+H164+H176+H183+H203+H219+H234+H246+H255+H258+H260+H263+H276+H283+H292+H302+H307+H520+H317+H332+H342+H362+H372+H384+H394+H406+H418+H425+H436+H444+H454+H475+H485+H499+H508+H536+H545+H558+H565+H572+H584+H590+H598+H610+H622+H631+H642+H654+H661+H669+H679+H691+H716+H728+H740+H748+H763+H775+H787+H794+H804+H816+H826+H838+H853+H863+H871+H883+H895+H902+H909+H916+H947+H959+H971+H983+H997+H1019+H1031+H1043</f>
        <v>1075219.2</v>
      </c>
      <c r="I1059" s="7">
        <f>I24+I31+I39+I42+I52+I61+I71+I85+I96+I108+I116+I126+I136+I143+I152+I164+I176+I183+I203+I219+I234+I246+I255+I258+I260+I263+I276+I283+I292+I302+I307+I520+I317+I332+I342+I362+I372+I384+I394+I406+I418+I425+I436+I444+I454+I475+I485+I499+I508+I536+I545+I558+I565+I572+I584+I590+I598+I610+I622+I631+I642+I654+I661+I669+I679+I691+I716+I728+I740+I748+I763+I775+I787+I794+I804+I816+I826+I838+I853+I863+I871+I883+I895+I902+I909+I916+I947+I959+I971+I983+I997+I1019+I1031+I1043+I46</f>
        <v>378497.69999999995</v>
      </c>
      <c r="J1059" s="7">
        <f>J24+J31+J52+J61+J85+J108+J116+J126+J136+J143+J152+J164+J176+J183+J219+J246+J276+J292+J332+J362+J384+J394+J406+J418+J475+J499+J508+J536+J545+J558+J565+J572+J610+J631+J642+J654+J661+J669+J679+J716+J728+J740+J748+J763+J775+J787+J794+J804+J816+J826+J838+J853+J863+J871+J883+J895+J902+J909+J947+J959+J971+J983+J997</f>
        <v>1092.5999999999999</v>
      </c>
      <c r="K1059" s="436"/>
    </row>
    <row r="1060" spans="1:18" ht="15" x14ac:dyDescent="0.25">
      <c r="A1060" s="448"/>
      <c r="B1060" s="449"/>
      <c r="C1060" s="449"/>
      <c r="D1060" s="450"/>
      <c r="E1060" s="222">
        <v>2018</v>
      </c>
      <c r="F1060" s="156">
        <f t="shared" si="193"/>
        <v>1602951.9000000004</v>
      </c>
      <c r="G1060" s="7"/>
      <c r="H1060" s="7">
        <f>H25+H32+H53+H62+H86+H109+H117+H127+H137+H144+H153+H165+H177+H184+H220+H247+H277+H293+H333+H363+H385+H395+H407+H419+H476+H500+H509+H537+H546+H559+H566+H573+H611+H632+H643+H655+H662+H670+H680+H717+H729+H741+H749+H764+H776+H788+H795+H805+H817+H827+H839+H854+H864+H872+H884+H896+H903+H910+H948+H960+H972+H984+H998+H204+H235+H72+H308+H343+H373+H445+H692+H40+H43+H256+H265+H261</f>
        <v>1207746.5000000002</v>
      </c>
      <c r="I1060" s="7">
        <f>I25+I32+I53+I62+I86+I109+I117+I127+I137+I144+I153+I165+I177+I184+I220+I247+I277+I293+I333+I363+I385+I395+I407+I419+I476+I500+I509+I537+I546+I559+I566+I573+I611+I632+I643+I655+I662+I670+I680+I717+I729+I741+I749+I764+I776+I788+I795+I805+I817+I827+I839+I854+I864+I872+I884+I896+I903+I910+I948+I960+I972+I984+I998+I623+I97+I284+I426+I437+I591+I235+I43+I1044+I1032+I1020+I917+I486+I455+I318+I521+I308+I265+I261+I40</f>
        <v>393203.3000000001</v>
      </c>
      <c r="J1060" s="7">
        <f>J25+J32+J53+J62+J86+J109+J117+J127+J137+J144+J153+J165+J177+J184+J220+J247+J277+J293+J333+J363+J385+J395+J407+J419+J476+J500+J509+J537+J546+J559+J566+J573+J611+J632+J643+J655+J662+J670+J680+J717+J729+J741+J749+J764+J776+J788+J795+J805+J817+J827+J839+J854+J864+J872+J884+J896+J903+J910+J948+J960+J972+J984+J998</f>
        <v>2002.1</v>
      </c>
      <c r="K1060" s="436"/>
    </row>
    <row r="1061" spans="1:18" ht="15" x14ac:dyDescent="0.25">
      <c r="A1061" s="448"/>
      <c r="B1061" s="449"/>
      <c r="C1061" s="449"/>
      <c r="D1061" s="450"/>
      <c r="E1061" s="222">
        <v>2019</v>
      </c>
      <c r="F1061" s="156">
        <f>SUM(H1061:J1061)</f>
        <v>1918176.9000000001</v>
      </c>
      <c r="G1061" s="7"/>
      <c r="H1061" s="7">
        <f>H26+H33+H54+H63+H87+H110+H118+H128+H138+H145+H154+H166+H178+H185+H221+H248+H278+H294+H334+H364+H386+H396+H408+H420+H477+H501+H510+H538+H547+H560+H567+H574+H612+H633+H644+H656+H663+H671+H681+H718+H730+H742+H750+H765+H777+H789+H796+H806+H818+H828+H840+H855+H865+H873+H885+H897+H904+H911+H949+H961+H973+H985+H999+H205+H693+H446+H374+H344+H309+H764+H601+H73+H930</f>
        <v>1423046.4000000001</v>
      </c>
      <c r="I1061" s="7">
        <f>I26+I33+I54+I63+I87+I110+I118+I128+I138+I145+I154+I166+I178+I185+I221+I248+I278+I294+I334+I364+I386+I396+I408+I420+I477+I501+I510+I538+I547+I560+I567+I574+I612+I633+I644+I656+I663+I671+I681+I718+I730+I742+I750+I765+I777+I789+I796+I806+I818+I828+I840+I855+I865+I873+I885+I897+I904+I911+I949+I961+I973+I985+I999+I624+I98+I285+I427+I438+I592+I1045+I1033+I1021+I918+I487+I522+I309+I601+I456+I319+I44+I930</f>
        <v>493073.3</v>
      </c>
      <c r="J1061" s="7">
        <f>J26+J33+J54+J63+J87+J110+J118+J128+J138+J145+J154+J166+J178+J185+J221+J248+J278+J294+J334+J364+J386+J396+J408+J420+J477+J501+J510+J538+J547+J560+J567+J574+J612+J633+J644+J656+J663+J671+J681+J718+J730+J742+J750+J765+J777+J789+J796+J806+J818+J828+J840+J855+J865+J873+J885+J897+J904+J911+J949+J961+J973+J985+J999</f>
        <v>2057.1999999999998</v>
      </c>
      <c r="K1061" s="436"/>
      <c r="L1061" s="4">
        <v>1856156.6</v>
      </c>
      <c r="M1061" s="107">
        <f>F1061-J1061</f>
        <v>1916119.7000000002</v>
      </c>
      <c r="N1061" s="107">
        <f>L1061-M1061</f>
        <v>-59963.100000000093</v>
      </c>
      <c r="P1061" s="4">
        <v>885369.7</v>
      </c>
      <c r="Q1061" s="4" t="s">
        <v>411</v>
      </c>
    </row>
    <row r="1062" spans="1:18" ht="15" x14ac:dyDescent="0.25">
      <c r="A1062" s="448"/>
      <c r="B1062" s="449"/>
      <c r="C1062" s="449"/>
      <c r="D1062" s="450"/>
      <c r="E1062" s="222">
        <v>2020</v>
      </c>
      <c r="F1062" s="156">
        <f>SUM(G1062:J1062)</f>
        <v>1922403.4999999995</v>
      </c>
      <c r="G1062" s="7">
        <f>G310+G352+G447+G464</f>
        <v>19055.999999999996</v>
      </c>
      <c r="H1062" s="7">
        <f>H27+H34+H55+H64+H88+H111+H119+H129+H139+H146+H155+H167+H179+H186+H222+H249+H279+H295+H335+H365+H387+H397+H409+H421+H478+H502+H511+H539+H548+H561+H568+H575+H613+H634+H645+H657+H664+H672+H682+H719+H731+H743+H751+H766+H778+H790+H797+H807+H819+H829+H841+H856+H866+H874+H886+H898+H905+H912+H950+H962+H974+H986+H1000+H694+H447+H375+H345+H310+H206+H74+H931+H602</f>
        <v>1422538.9999999998</v>
      </c>
      <c r="I1062" s="7">
        <f>I27+I34+I55+I64+I88+I111+I119+I129+I139+I146+I155+I167+I179+I186+I222+I249+I279+I295+I335+I365+I387+I397+I409+I421+I478+I502+I511+I539+I548+I561+I568+I575+I613+I634+I645+I657+I664+I672+I682+I719+I731+I743+I751+I766+I778+I790+I797+I807+I819+I829+I841+I856+I866+I874+I886+I898+I905+I912+I950+I962+I974+I986+I1000+I625+I1046+I1034+I1022+I488+I428+I523+I310+I919+I593+I439+I286+I931+I602+I457+I99+I320+I1007</f>
        <v>479109.79999999987</v>
      </c>
      <c r="J1062" s="7">
        <f>J27+J34+J55+J64+J88+J111+J119+J129+J139+J146+J155+J167+J179+J186+J222+J249+J279+J295+J335+J365+J387+J397+J409+J421+J478+J502+J511+J539+J548+J561+J568+J575+J613+J634+J645+J657+J664+J672+J682+J719+J731+J743+J751+J766+J778+J790+J797+J807+J819+J829+J841+J856+J866+J874+J886+J898+J905+J912+J950+J962+J974+J986+J1000</f>
        <v>1698.7000000000003</v>
      </c>
      <c r="K1062" s="436"/>
      <c r="P1062" s="4">
        <v>1031330.3</v>
      </c>
      <c r="Q1062" s="4" t="s">
        <v>412</v>
      </c>
    </row>
    <row r="1063" spans="1:18" ht="15" x14ac:dyDescent="0.25">
      <c r="A1063" s="448"/>
      <c r="B1063" s="449"/>
      <c r="C1063" s="449"/>
      <c r="D1063" s="450"/>
      <c r="E1063" s="222">
        <v>2021</v>
      </c>
      <c r="F1063" s="156">
        <f t="shared" ref="F1063:F1067" si="194">SUM(G1063:J1063)</f>
        <v>1497039.8000000003</v>
      </c>
      <c r="G1063" s="7">
        <f>G311+G353+G448+G465</f>
        <v>51153.8</v>
      </c>
      <c r="H1063" s="7">
        <f>H35+H65+H112+H140+H156+H168+H180+H187+H223+H250+H280+H296+H336+H366+H388+H398+H410+H479+H503+H512+H540+H549+H562+H569+H576+H614+H635+H646+H658+H665+H673+H683+H720+H732+H744+H752+H767+H779+H791+H798+H808+H820+H830+H842+H857+H867+H875+H887+H899+H906+H913+H951+H963+H975+H987+H1001+H207+H695+H448+H376+H346+H311+H75+H932+H603+H89</f>
        <v>970452.50000000023</v>
      </c>
      <c r="I1063" s="7">
        <f>I35+I65+I156+I168+I223+I250+I280+I296+I336+I366+I398+I410+I479+I512+I540+I549+I562+I576+I614+I635+I646+I665+I673+I683+I720+I732+I744+I752+I767+I779+I808+I830+I842+I857+I867+I875+I887+I951+I963+I975+I987+I1001+I626+I100+I287+I429+I440+I594+I1047+I1035+I1023+I920+I489+I524+I311+I932+I1008+I458+I321+I237+I89</f>
        <v>475045.9</v>
      </c>
      <c r="J1063" s="7">
        <f>J28+J35+J56+J65+J94+J112+J120+J130+J140+J147+J156+J168+J180+J187+J223+J250+J280+J296+J336+J366+J388+J398+J410+J422+J479+J503+J512+J540+J549+J562+J569+J576+J614+J635+J646+J658+J665+J673+J683+J720+J732+J744+J752+J767+J779+J791+J798+J808+J820+J830+J842+J857+J867+J875+J887+J899+J906+J913+J951+J963+J975+J987+J1001</f>
        <v>387.59999999999997</v>
      </c>
      <c r="K1063" s="437"/>
      <c r="P1063" s="127">
        <v>1938200</v>
      </c>
      <c r="Q1063" s="127" t="s">
        <v>413</v>
      </c>
      <c r="R1063" s="127"/>
    </row>
    <row r="1064" spans="1:18" ht="15" x14ac:dyDescent="0.25">
      <c r="A1064" s="448"/>
      <c r="B1064" s="449"/>
      <c r="C1064" s="449"/>
      <c r="D1064" s="450"/>
      <c r="E1064" s="222">
        <v>2022</v>
      </c>
      <c r="F1064" s="156">
        <f t="shared" si="194"/>
        <v>1514532.8</v>
      </c>
      <c r="G1064" s="7">
        <f t="shared" ref="G1064" si="195">G312+G354+G449+G466</f>
        <v>52905.8</v>
      </c>
      <c r="H1064" s="7">
        <f>H66+H157+H169+H224+H297+H337+H367+H399+H411+H480+H513+H550+H577+H615+H647+H684+H721+H733+H753+H768+H780+H809+H831+H843+H876+H888+H952+H964+H976+H988+H1002+H696+H449+H377+H347+H312+H208+H76+H933+H251+H36</f>
        <v>1162095.7999999998</v>
      </c>
      <c r="I1064" s="7">
        <f>I66+I157+I169+I224+I297+I337+I367+I399+I411+I480+I513+I550+I577+I615+I647+I684+I721+I733+I753+I768+I780+I809+I831+I843+I876+I888+I952+I964+I976+I988+I1002+I1048+I1036+I1024+I490+I430+I525+I312+I921+I36+I933+I251+I1009</f>
        <v>299143.60000000003</v>
      </c>
      <c r="J1064" s="7">
        <f>J29+J37+J57+J66+J113+J121+J131+J141+J148+J157+J169+J181+J188+J224+J253+J281+J297+J337+J367+J389+J399+J411+J423+J480+J504+J513+J541+J550+J563+J570+J577+J615+J636+J647+J659+J666+J674+J684+J721+J733+J745+J753+J768+J780+J792+J799+J809+J821+J831+J843+J860+J868+J876+J888+J900+J907+J914+J952+J964+J976+J988+J1002</f>
        <v>387.59999999999997</v>
      </c>
      <c r="K1064" s="437"/>
      <c r="P1064" s="4">
        <v>5422600</v>
      </c>
      <c r="Q1064" s="4" t="s">
        <v>414</v>
      </c>
    </row>
    <row r="1065" spans="1:18" ht="15" x14ac:dyDescent="0.25">
      <c r="A1065" s="448"/>
      <c r="B1065" s="449"/>
      <c r="C1065" s="449"/>
      <c r="D1065" s="450"/>
      <c r="E1065" s="222">
        <v>2023</v>
      </c>
      <c r="F1065" s="156">
        <f t="shared" si="194"/>
        <v>1486041</v>
      </c>
      <c r="G1065" s="7">
        <f>G313+G355+G450+G467+G269</f>
        <v>54283.5</v>
      </c>
      <c r="H1065" s="7">
        <f>H67+H158+H170+H298+H338+H368+H400+H412+H481+H514+H551+H578+H616+H648+H685+H722+H734+H754+H769+H781+H810+H832+H844+H877+H889+H953+H965+H977+H989+H1003+H209+H697+H450+H378+H348+H313+H77+H225+H269</f>
        <v>1222674.5</v>
      </c>
      <c r="I1065" s="7">
        <f>I67+I158+I170+I298+I338+I368+I400+I412+I481+I514+I551+I578+I616+I648+I685+I722+I734+I754+I769+I781+I810+I832+I844+I877+I889+I953+I965+I977+I989+I1003+I431+I1049+I1037+I1025+I922+I491+I526+I313+I1010+I225</f>
        <v>208695.39999999997</v>
      </c>
      <c r="J1065" s="7">
        <f>J30+J38+J58+J67+J95+J114+J122+J132+J142+J149+J158+J170+J182+J189+J228+J254+J282+J298+J338+J368+J390+J400+J412+J424+J481+J505+J514+J542+J551+J564+J571+J578+J616+J637+J648+J660+J667+J675+J685+J722+J734+J746+J754+J769+J781+J793+J800+J810+J822+J832+J844+J861+J869+J877+J889+J901+J908+J915+J953+J965+J977+J989+J1003</f>
        <v>387.59999999999997</v>
      </c>
      <c r="K1065" s="437"/>
      <c r="M1065" s="4" t="s">
        <v>410</v>
      </c>
    </row>
    <row r="1066" spans="1:18" ht="15" x14ac:dyDescent="0.25">
      <c r="A1066" s="448"/>
      <c r="B1066" s="449"/>
      <c r="C1066" s="449"/>
      <c r="D1066" s="450"/>
      <c r="E1066" s="222">
        <v>2024</v>
      </c>
      <c r="F1066" s="156">
        <f t="shared" si="194"/>
        <v>2511828.4000000004</v>
      </c>
      <c r="G1066" s="7"/>
      <c r="H1066" s="7">
        <f>H68+H143+H159+H171+H299+H339+H369+H401+H413+H482+H515+H543+H552+H579+H617+H649+H686+H723+H735+H755+H770+H782+H811+H833+H845+H878+H890+H954+H966+H978+H990+H1004+H698+H451+H379+H349+H314+H210+H78+H226</f>
        <v>2229065.7000000002</v>
      </c>
      <c r="I1066" s="7">
        <f>I68+I159+I171+I299+I339+I369+I401+I413+I482+I515+I552+I579+I617+I649+I686+I723+I735+I755+I770+I782+I811+I833+I845+I878+I890+I954+I966+I978+I990+I1004+I1050+I1038+I1026+I492+I432+I527+I314+I923+I226</f>
        <v>282375.09999999998</v>
      </c>
      <c r="J1066" s="7">
        <f>J31+J39+J59+J68+J96+J115+J123+J133+J143+J150+J159+J171+J183+J190+J229+J255+J283+J299+J339+J369+J391+J401+J413+J425+J482+J506+J515+J543+J552+J565+J572+J579+J617+J638+J649+J661+J668+J676+J686+J723+J735+J747+J755+J770+J782+J794+J801+J811+J823+J833+J845+J862+J870+J878+J890+J902+J909+J916+J954+J966+J978+J990+J1004</f>
        <v>387.59999999999997</v>
      </c>
      <c r="K1066" s="437"/>
    </row>
    <row r="1067" spans="1:18" ht="15" x14ac:dyDescent="0.25">
      <c r="A1067" s="448"/>
      <c r="B1067" s="449"/>
      <c r="C1067" s="449"/>
      <c r="D1067" s="450"/>
      <c r="E1067" s="222">
        <v>2025</v>
      </c>
      <c r="F1067" s="156">
        <f t="shared" si="194"/>
        <v>2821194.8999999994</v>
      </c>
      <c r="G1067" s="7"/>
      <c r="H1067" s="7">
        <f>H69+H160+H172+H300+H340+H370+H402+H414+H483+H516+H553+H580+H618+H639+H650+H687+H724+H736+H756+H771+H783+H812+H834+H846+H879+H891+H955+H967+H979+H991+H1005+H699+H452+H380+H350+H315+H211+H79+H227</f>
        <v>2525154.3999999994</v>
      </c>
      <c r="I1067" s="7">
        <f>I69+I160+I172+I300+I340+I370+I402+I414+I483+I516+I553+I580+I618+I650+I687+I724+I736+I756+I771+I783+I812+I834+I846+I879+I891+I955+I967+I979+I991+I1005+I1051+I1039+I1027+I493+I433+I528+I315+I924+I227</f>
        <v>295652.89999999997</v>
      </c>
      <c r="J1067" s="7">
        <f>J32+J40+J60+J69+J97+J116+J124+J134+J144+J151+J160+J172+J184+J191+J230+J256+J284+J300+J340+J370+J392+J402+J414+J426+J483+J507+J516+J544+J553+J566+J573+J580+J618+J639+J650+J662+J669+J677+J687+J724+J736+J748+J756+J771+J783+J795+J802+J812+J824+J834+J846+J863+J871+J879+J891+J903+J910+J917+J955+J967+J979+J991+J1005</f>
        <v>387.59999999999997</v>
      </c>
      <c r="K1067" s="437"/>
    </row>
    <row r="1068" spans="1:18" ht="15.75" customHeight="1" thickBot="1" x14ac:dyDescent="0.25">
      <c r="A1068" s="451"/>
      <c r="B1068" s="452"/>
      <c r="C1068" s="452"/>
      <c r="D1068" s="453"/>
      <c r="E1068" s="167" t="s">
        <v>392</v>
      </c>
      <c r="F1068" s="203">
        <f>SUM(F1057:F1067)</f>
        <v>19021655.600000001</v>
      </c>
      <c r="G1068" s="168">
        <f>SUM(G1057:G1067)</f>
        <v>177399.1</v>
      </c>
      <c r="H1068" s="168">
        <f>SUM(H1057:H1067)</f>
        <v>15159476.599999998</v>
      </c>
      <c r="I1068" s="168">
        <f>SUM(I1057:I1067)</f>
        <v>3674421.8</v>
      </c>
      <c r="J1068" s="168">
        <f>SUM(J1057:J1067)</f>
        <v>10358.1</v>
      </c>
      <c r="K1068" s="438"/>
    </row>
    <row r="1070" spans="1:18" x14ac:dyDescent="0.2">
      <c r="I1070" s="85"/>
    </row>
    <row r="1073" spans="8:9" x14ac:dyDescent="0.2">
      <c r="H1073" s="107"/>
      <c r="I1073" s="107"/>
    </row>
  </sheetData>
  <mergeCells count="665">
    <mergeCell ref="K464:K470"/>
    <mergeCell ref="A542:K542"/>
    <mergeCell ref="A543:A554"/>
    <mergeCell ref="B543:B554"/>
    <mergeCell ref="C543:C554"/>
    <mergeCell ref="A504:D504"/>
    <mergeCell ref="K506:K517"/>
    <mergeCell ref="K556:K562"/>
    <mergeCell ref="K534:K540"/>
    <mergeCell ref="A541:K541"/>
    <mergeCell ref="A496:K496"/>
    <mergeCell ref="A497:A503"/>
    <mergeCell ref="B497:B503"/>
    <mergeCell ref="C497:C503"/>
    <mergeCell ref="D497:D503"/>
    <mergeCell ref="K497:K503"/>
    <mergeCell ref="A505:K505"/>
    <mergeCell ref="B506:B517"/>
    <mergeCell ref="C506:C517"/>
    <mergeCell ref="D506:D517"/>
    <mergeCell ref="D543:D554"/>
    <mergeCell ref="K520:K529"/>
    <mergeCell ref="K543:K554"/>
    <mergeCell ref="A534:A540"/>
    <mergeCell ref="L705:N705"/>
    <mergeCell ref="A709:D709"/>
    <mergeCell ref="D237:D242"/>
    <mergeCell ref="K237:K242"/>
    <mergeCell ref="A267:A272"/>
    <mergeCell ref="B267:B272"/>
    <mergeCell ref="C267:C272"/>
    <mergeCell ref="D267:D272"/>
    <mergeCell ref="K267:K272"/>
    <mergeCell ref="A702:K702"/>
    <mergeCell ref="A703:A708"/>
    <mergeCell ref="B703:B708"/>
    <mergeCell ref="C703:C708"/>
    <mergeCell ref="D703:D708"/>
    <mergeCell ref="K703:K708"/>
    <mergeCell ref="A464:A470"/>
    <mergeCell ref="B464:B470"/>
    <mergeCell ref="C464:C470"/>
    <mergeCell ref="D464:D470"/>
    <mergeCell ref="B485:B494"/>
    <mergeCell ref="C485:C494"/>
    <mergeCell ref="D485:D494"/>
    <mergeCell ref="K485:K494"/>
    <mergeCell ref="A495:D495"/>
    <mergeCell ref="A638:K638"/>
    <mergeCell ref="K629:K636"/>
    <mergeCell ref="C620:C627"/>
    <mergeCell ref="A629:A636"/>
    <mergeCell ref="B629:B636"/>
    <mergeCell ref="C629:C636"/>
    <mergeCell ref="D629:D636"/>
    <mergeCell ref="A1007:A1013"/>
    <mergeCell ref="B1007:B1013"/>
    <mergeCell ref="C1007:C1013"/>
    <mergeCell ref="D1007:D1013"/>
    <mergeCell ref="K1007:K1013"/>
    <mergeCell ref="A710:D711"/>
    <mergeCell ref="A941:D942"/>
    <mergeCell ref="B969:B980"/>
    <mergeCell ref="C969:C980"/>
    <mergeCell ref="D969:D980"/>
    <mergeCell ref="D957:D968"/>
    <mergeCell ref="A712:K712"/>
    <mergeCell ref="A639:K639"/>
    <mergeCell ref="A640:A651"/>
    <mergeCell ref="B640:B651"/>
    <mergeCell ref="C640:C651"/>
    <mergeCell ref="D640:D651"/>
    <mergeCell ref="A598:A599"/>
    <mergeCell ref="B598:B599"/>
    <mergeCell ref="C598:C599"/>
    <mergeCell ref="D598:D599"/>
    <mergeCell ref="K598:K599"/>
    <mergeCell ref="A637:D637"/>
    <mergeCell ref="A600:K600"/>
    <mergeCell ref="A601:A604"/>
    <mergeCell ref="B601:B604"/>
    <mergeCell ref="C601:C604"/>
    <mergeCell ref="D601:D604"/>
    <mergeCell ref="K601:K604"/>
    <mergeCell ref="A620:A627"/>
    <mergeCell ref="B620:B627"/>
    <mergeCell ref="C563:C569"/>
    <mergeCell ref="D563:D569"/>
    <mergeCell ref="A582:A588"/>
    <mergeCell ref="D556:D562"/>
    <mergeCell ref="K589:K597"/>
    <mergeCell ref="K582:K588"/>
    <mergeCell ref="B582:B588"/>
    <mergeCell ref="C582:C588"/>
    <mergeCell ref="D582:D588"/>
    <mergeCell ref="B534:B540"/>
    <mergeCell ref="C534:C540"/>
    <mergeCell ref="D534:D540"/>
    <mergeCell ref="A530:D531"/>
    <mergeCell ref="K836:K847"/>
    <mergeCell ref="K824:K835"/>
    <mergeCell ref="K869:K906"/>
    <mergeCell ref="C916:C927"/>
    <mergeCell ref="A821:D821"/>
    <mergeCell ref="K907:K913"/>
    <mergeCell ref="A907:A913"/>
    <mergeCell ref="C851:C860"/>
    <mergeCell ref="D851:D860"/>
    <mergeCell ref="K851:K868"/>
    <mergeCell ref="K916:K927"/>
    <mergeCell ref="D916:D927"/>
    <mergeCell ref="A869:A880"/>
    <mergeCell ref="B869:B880"/>
    <mergeCell ref="C869:C880"/>
    <mergeCell ref="A628:K628"/>
    <mergeCell ref="K608:K627"/>
    <mergeCell ref="D620:D627"/>
    <mergeCell ref="B608:B619"/>
    <mergeCell ref="A608:A619"/>
    <mergeCell ref="A327:D327"/>
    <mergeCell ref="A328:K328"/>
    <mergeCell ref="A329:K329"/>
    <mergeCell ref="D317:D326"/>
    <mergeCell ref="K317:K326"/>
    <mergeCell ref="K945:K992"/>
    <mergeCell ref="D981:D992"/>
    <mergeCell ref="D861:D868"/>
    <mergeCell ref="C861:C868"/>
    <mergeCell ref="A861:A868"/>
    <mergeCell ref="A555:K555"/>
    <mergeCell ref="A556:A562"/>
    <mergeCell ref="B556:B562"/>
    <mergeCell ref="C556:C562"/>
    <mergeCell ref="A605:D605"/>
    <mergeCell ref="A589:A597"/>
    <mergeCell ref="K563:K569"/>
    <mergeCell ref="A570:A581"/>
    <mergeCell ref="B570:B581"/>
    <mergeCell ref="C570:C581"/>
    <mergeCell ref="D570:D581"/>
    <mergeCell ref="K570:K581"/>
    <mergeCell ref="A563:A569"/>
    <mergeCell ref="B563:B569"/>
    <mergeCell ref="B330:B341"/>
    <mergeCell ref="C330:C341"/>
    <mergeCell ref="D330:D341"/>
    <mergeCell ref="A520:A529"/>
    <mergeCell ref="B520:B529"/>
    <mergeCell ref="C520:C529"/>
    <mergeCell ref="D520:D529"/>
    <mergeCell ref="K473:K484"/>
    <mergeCell ref="A317:A326"/>
    <mergeCell ref="B317:B326"/>
    <mergeCell ref="K330:K341"/>
    <mergeCell ref="A519:K519"/>
    <mergeCell ref="C423:C434"/>
    <mergeCell ref="D423:D434"/>
    <mergeCell ref="D360:D371"/>
    <mergeCell ref="K360:K371"/>
    <mergeCell ref="A389:D389"/>
    <mergeCell ref="A391:K391"/>
    <mergeCell ref="A382:A388"/>
    <mergeCell ref="B382:B388"/>
    <mergeCell ref="K454:K463"/>
    <mergeCell ref="B342:B351"/>
    <mergeCell ref="C342:C351"/>
    <mergeCell ref="D342:D351"/>
    <mergeCell ref="K342:K351"/>
    <mergeCell ref="A372:A381"/>
    <mergeCell ref="B372:B381"/>
    <mergeCell ref="C372:C381"/>
    <mergeCell ref="D372:D381"/>
    <mergeCell ref="K372:K381"/>
    <mergeCell ref="B392:B403"/>
    <mergeCell ref="C392:C403"/>
    <mergeCell ref="B282:B288"/>
    <mergeCell ref="A359:K359"/>
    <mergeCell ref="A360:A371"/>
    <mergeCell ref="B360:B371"/>
    <mergeCell ref="C360:C371"/>
    <mergeCell ref="A307:A316"/>
    <mergeCell ref="B307:B316"/>
    <mergeCell ref="C307:C316"/>
    <mergeCell ref="D307:D316"/>
    <mergeCell ref="K307:K316"/>
    <mergeCell ref="A342:A351"/>
    <mergeCell ref="C317:C326"/>
    <mergeCell ref="A330:A341"/>
    <mergeCell ref="A352:A358"/>
    <mergeCell ref="B352:B358"/>
    <mergeCell ref="C352:C358"/>
    <mergeCell ref="A274:A281"/>
    <mergeCell ref="B274:B281"/>
    <mergeCell ref="C274:C281"/>
    <mergeCell ref="D274:D281"/>
    <mergeCell ref="K274:K281"/>
    <mergeCell ref="A302:A306"/>
    <mergeCell ref="B302:B306"/>
    <mergeCell ref="C302:C306"/>
    <mergeCell ref="D302:D306"/>
    <mergeCell ref="K302:K306"/>
    <mergeCell ref="K282:K288"/>
    <mergeCell ref="A289:K289"/>
    <mergeCell ref="A290:A301"/>
    <mergeCell ref="B290:B301"/>
    <mergeCell ref="C290:C301"/>
    <mergeCell ref="D290:D301"/>
    <mergeCell ref="K290:K301"/>
    <mergeCell ref="C232:C236"/>
    <mergeCell ref="D232:D236"/>
    <mergeCell ref="A273:K273"/>
    <mergeCell ref="A244:A253"/>
    <mergeCell ref="A232:A236"/>
    <mergeCell ref="C244:C253"/>
    <mergeCell ref="D244:D253"/>
    <mergeCell ref="K244:K253"/>
    <mergeCell ref="A254:A257"/>
    <mergeCell ref="B254:B257"/>
    <mergeCell ref="C254:C257"/>
    <mergeCell ref="D254:D257"/>
    <mergeCell ref="K254:K257"/>
    <mergeCell ref="A258:A259"/>
    <mergeCell ref="B258:B259"/>
    <mergeCell ref="C258:C259"/>
    <mergeCell ref="A260:A262"/>
    <mergeCell ref="B260:B262"/>
    <mergeCell ref="C260:C262"/>
    <mergeCell ref="D260:D262"/>
    <mergeCell ref="K260:K262"/>
    <mergeCell ref="A237:A242"/>
    <mergeCell ref="B237:B242"/>
    <mergeCell ref="C237:C242"/>
    <mergeCell ref="K16:K17"/>
    <mergeCell ref="K22:K47"/>
    <mergeCell ref="D29:D37"/>
    <mergeCell ref="A29:A37"/>
    <mergeCell ref="B29:B37"/>
    <mergeCell ref="H1:K1"/>
    <mergeCell ref="H2:K2"/>
    <mergeCell ref="E10:E11"/>
    <mergeCell ref="F10:J10"/>
    <mergeCell ref="A14:K14"/>
    <mergeCell ref="A15:K15"/>
    <mergeCell ref="A13:K13"/>
    <mergeCell ref="A10:A11"/>
    <mergeCell ref="B10:B11"/>
    <mergeCell ref="A5:K5"/>
    <mergeCell ref="A6:K6"/>
    <mergeCell ref="A7:K7"/>
    <mergeCell ref="K10:K11"/>
    <mergeCell ref="C10:C11"/>
    <mergeCell ref="D10:D11"/>
    <mergeCell ref="A71:A80"/>
    <mergeCell ref="B71:B80"/>
    <mergeCell ref="C71:C80"/>
    <mergeCell ref="D71:D80"/>
    <mergeCell ref="K71:K80"/>
    <mergeCell ref="A16:A17"/>
    <mergeCell ref="B16:B17"/>
    <mergeCell ref="W20:Z20"/>
    <mergeCell ref="A21:K21"/>
    <mergeCell ref="A22:A28"/>
    <mergeCell ref="B22:B28"/>
    <mergeCell ref="C22:C28"/>
    <mergeCell ref="L20:N20"/>
    <mergeCell ref="O20:R20"/>
    <mergeCell ref="S20:V20"/>
    <mergeCell ref="A20:D20"/>
    <mergeCell ref="D22:D28"/>
    <mergeCell ref="A18:A19"/>
    <mergeCell ref="B18:B19"/>
    <mergeCell ref="C18:C19"/>
    <mergeCell ref="D18:D19"/>
    <mergeCell ref="K18:K19"/>
    <mergeCell ref="C16:C17"/>
    <mergeCell ref="D16:D17"/>
    <mergeCell ref="A121:D121"/>
    <mergeCell ref="A122:K122"/>
    <mergeCell ref="A81:D81"/>
    <mergeCell ref="A82:K82"/>
    <mergeCell ref="A83:A94"/>
    <mergeCell ref="B83:B94"/>
    <mergeCell ref="C83:C94"/>
    <mergeCell ref="D83:D94"/>
    <mergeCell ref="K83:K94"/>
    <mergeCell ref="C114:C120"/>
    <mergeCell ref="D114:D120"/>
    <mergeCell ref="K114:K120"/>
    <mergeCell ref="A104:D104"/>
    <mergeCell ref="A105:K105"/>
    <mergeCell ref="C95:C103"/>
    <mergeCell ref="D95:D103"/>
    <mergeCell ref="A95:A103"/>
    <mergeCell ref="B95:B103"/>
    <mergeCell ref="K95:K103"/>
    <mergeCell ref="F131:J131"/>
    <mergeCell ref="A132:K132"/>
    <mergeCell ref="A133:K133"/>
    <mergeCell ref="K134:K140"/>
    <mergeCell ref="A141:A147"/>
    <mergeCell ref="B141:B147"/>
    <mergeCell ref="C141:C147"/>
    <mergeCell ref="D141:D147"/>
    <mergeCell ref="K141:K147"/>
    <mergeCell ref="K150:K173"/>
    <mergeCell ref="A162:A173"/>
    <mergeCell ref="B162:B173"/>
    <mergeCell ref="C162:C173"/>
    <mergeCell ref="D162:D173"/>
    <mergeCell ref="A134:A140"/>
    <mergeCell ref="B134:B140"/>
    <mergeCell ref="C134:C140"/>
    <mergeCell ref="D134:D140"/>
    <mergeCell ref="A148:K148"/>
    <mergeCell ref="A149:K149"/>
    <mergeCell ref="D188:D194"/>
    <mergeCell ref="F188:J194"/>
    <mergeCell ref="A150:A161"/>
    <mergeCell ref="B150:B161"/>
    <mergeCell ref="C150:C161"/>
    <mergeCell ref="D150:D161"/>
    <mergeCell ref="K174:K180"/>
    <mergeCell ref="A181:A187"/>
    <mergeCell ref="B181:B187"/>
    <mergeCell ref="C181:C187"/>
    <mergeCell ref="D181:D187"/>
    <mergeCell ref="K181:K187"/>
    <mergeCell ref="A174:A180"/>
    <mergeCell ref="B174:B180"/>
    <mergeCell ref="C174:C180"/>
    <mergeCell ref="D174:D180"/>
    <mergeCell ref="K188:K201"/>
    <mergeCell ref="A188:A194"/>
    <mergeCell ref="B188:B194"/>
    <mergeCell ref="C188:C194"/>
    <mergeCell ref="B195:B201"/>
    <mergeCell ref="C195:C201"/>
    <mergeCell ref="D195:D201"/>
    <mergeCell ref="A195:A201"/>
    <mergeCell ref="K640:K666"/>
    <mergeCell ref="A659:A666"/>
    <mergeCell ref="B659:B666"/>
    <mergeCell ref="C659:C666"/>
    <mergeCell ref="D659:D666"/>
    <mergeCell ref="A652:A658"/>
    <mergeCell ref="B652:B658"/>
    <mergeCell ref="C652:C658"/>
    <mergeCell ref="D652:D658"/>
    <mergeCell ref="D691:D700"/>
    <mergeCell ref="K691:K700"/>
    <mergeCell ref="A701:D701"/>
    <mergeCell ref="K667:K674"/>
    <mergeCell ref="A675:D675"/>
    <mergeCell ref="K1057:K1068"/>
    <mergeCell ref="A1014:D1014"/>
    <mergeCell ref="A1015:D1015"/>
    <mergeCell ref="A1016:D1016"/>
    <mergeCell ref="A1056:D1068"/>
    <mergeCell ref="D995:D1006"/>
    <mergeCell ref="A993:D993"/>
    <mergeCell ref="A994:K994"/>
    <mergeCell ref="A995:A1006"/>
    <mergeCell ref="B995:B1006"/>
    <mergeCell ref="C995:C1006"/>
    <mergeCell ref="K995:K1006"/>
    <mergeCell ref="A1030:K1030"/>
    <mergeCell ref="A1031:A1040"/>
    <mergeCell ref="B1031:B1040"/>
    <mergeCell ref="C1031:C1040"/>
    <mergeCell ref="D1031:D1040"/>
    <mergeCell ref="K1031:K1040"/>
    <mergeCell ref="D1043:D1052"/>
    <mergeCell ref="K1043:K1052"/>
    <mergeCell ref="A1053:D1053"/>
    <mergeCell ref="A1054:D1054"/>
    <mergeCell ref="A1055:D1055"/>
    <mergeCell ref="A1017:K1017"/>
    <mergeCell ref="A1029:D1029"/>
    <mergeCell ref="A1041:D1041"/>
    <mergeCell ref="A1042:K1042"/>
    <mergeCell ref="A1043:A1052"/>
    <mergeCell ref="B1043:B1052"/>
    <mergeCell ref="C1043:C1052"/>
    <mergeCell ref="A1018:K1018"/>
    <mergeCell ref="A1019:A1028"/>
    <mergeCell ref="B1019:B1028"/>
    <mergeCell ref="C1019:C1028"/>
    <mergeCell ref="D1019:D1028"/>
    <mergeCell ref="K1019:K1028"/>
    <mergeCell ref="B907:B913"/>
    <mergeCell ref="C907:C913"/>
    <mergeCell ref="A981:A992"/>
    <mergeCell ref="B981:B992"/>
    <mergeCell ref="C981:C992"/>
    <mergeCell ref="A969:A980"/>
    <mergeCell ref="A943:K943"/>
    <mergeCell ref="A944:K944"/>
    <mergeCell ref="A957:A968"/>
    <mergeCell ref="B957:B968"/>
    <mergeCell ref="C957:C968"/>
    <mergeCell ref="A945:A956"/>
    <mergeCell ref="B945:B956"/>
    <mergeCell ref="C945:C956"/>
    <mergeCell ref="D907:D913"/>
    <mergeCell ref="A914:D914"/>
    <mergeCell ref="D945:D956"/>
    <mergeCell ref="A928:D928"/>
    <mergeCell ref="A799:D799"/>
    <mergeCell ref="A848:D848"/>
    <mergeCell ref="A824:A835"/>
    <mergeCell ref="B824:B835"/>
    <mergeCell ref="C824:C835"/>
    <mergeCell ref="A836:A847"/>
    <mergeCell ref="B836:B847"/>
    <mergeCell ref="C836:C847"/>
    <mergeCell ref="D836:D847"/>
    <mergeCell ref="D824:D835"/>
    <mergeCell ref="A800:K800"/>
    <mergeCell ref="A801:K801"/>
    <mergeCell ref="D802:D813"/>
    <mergeCell ref="K802:K813"/>
    <mergeCell ref="A822:K822"/>
    <mergeCell ref="K814:K820"/>
    <mergeCell ref="A802:A813"/>
    <mergeCell ref="B802:B813"/>
    <mergeCell ref="C802:C813"/>
    <mergeCell ref="A823:K823"/>
    <mergeCell ref="A814:A820"/>
    <mergeCell ref="B814:B820"/>
    <mergeCell ref="C814:C820"/>
    <mergeCell ref="D814:D820"/>
    <mergeCell ref="A900:A906"/>
    <mergeCell ref="B900:B906"/>
    <mergeCell ref="C900:C906"/>
    <mergeCell ref="D900:D906"/>
    <mergeCell ref="A893:A899"/>
    <mergeCell ref="A851:A860"/>
    <mergeCell ref="B851:B860"/>
    <mergeCell ref="K785:K791"/>
    <mergeCell ref="K792:K798"/>
    <mergeCell ref="A792:A798"/>
    <mergeCell ref="B792:B798"/>
    <mergeCell ref="C792:C798"/>
    <mergeCell ref="D792:D798"/>
    <mergeCell ref="A849:K849"/>
    <mergeCell ref="A850:K850"/>
    <mergeCell ref="B893:B899"/>
    <mergeCell ref="C893:C899"/>
    <mergeCell ref="D893:D899"/>
    <mergeCell ref="C881:C892"/>
    <mergeCell ref="D881:D892"/>
    <mergeCell ref="B861:B868"/>
    <mergeCell ref="D869:D880"/>
    <mergeCell ref="A881:A892"/>
    <mergeCell ref="B881:B892"/>
    <mergeCell ref="K761:K772"/>
    <mergeCell ref="C714:C725"/>
    <mergeCell ref="D714:D725"/>
    <mergeCell ref="K714:K757"/>
    <mergeCell ref="A738:A745"/>
    <mergeCell ref="B738:B745"/>
    <mergeCell ref="D746:D757"/>
    <mergeCell ref="A773:A784"/>
    <mergeCell ref="A785:A791"/>
    <mergeCell ref="B785:B791"/>
    <mergeCell ref="C785:C791"/>
    <mergeCell ref="D761:D772"/>
    <mergeCell ref="B746:B757"/>
    <mergeCell ref="C746:C757"/>
    <mergeCell ref="B761:B772"/>
    <mergeCell ref="C761:C772"/>
    <mergeCell ref="A746:A757"/>
    <mergeCell ref="A758:D758"/>
    <mergeCell ref="A759:K759"/>
    <mergeCell ref="A760:K760"/>
    <mergeCell ref="A676:K676"/>
    <mergeCell ref="A667:A674"/>
    <mergeCell ref="B667:B674"/>
    <mergeCell ref="C667:C674"/>
    <mergeCell ref="D667:D674"/>
    <mergeCell ref="C738:C745"/>
    <mergeCell ref="D738:D745"/>
    <mergeCell ref="K677:K688"/>
    <mergeCell ref="A677:A688"/>
    <mergeCell ref="B677:B688"/>
    <mergeCell ref="C677:C688"/>
    <mergeCell ref="D677:D688"/>
    <mergeCell ref="A726:A737"/>
    <mergeCell ref="B726:B737"/>
    <mergeCell ref="C726:C737"/>
    <mergeCell ref="D726:D737"/>
    <mergeCell ref="A713:K713"/>
    <mergeCell ref="A714:A725"/>
    <mergeCell ref="B714:B725"/>
    <mergeCell ref="A690:K690"/>
    <mergeCell ref="A691:A700"/>
    <mergeCell ref="B691:B700"/>
    <mergeCell ref="C691:C700"/>
    <mergeCell ref="A689:D689"/>
    <mergeCell ref="M96:O96"/>
    <mergeCell ref="M283:O283"/>
    <mergeCell ref="D38:D41"/>
    <mergeCell ref="A532:K532"/>
    <mergeCell ref="A533:K533"/>
    <mergeCell ref="A506:A517"/>
    <mergeCell ref="K392:K403"/>
    <mergeCell ref="K404:K415"/>
    <mergeCell ref="A416:A422"/>
    <mergeCell ref="B416:B422"/>
    <mergeCell ref="C416:C422"/>
    <mergeCell ref="D404:D415"/>
    <mergeCell ref="A471:D471"/>
    <mergeCell ref="K423:K434"/>
    <mergeCell ref="D416:D422"/>
    <mergeCell ref="K416:K422"/>
    <mergeCell ref="C282:C288"/>
    <mergeCell ref="D282:D288"/>
    <mergeCell ref="A282:A288"/>
    <mergeCell ref="K382:K388"/>
    <mergeCell ref="C382:C388"/>
    <mergeCell ref="D382:D388"/>
    <mergeCell ref="A390:K390"/>
    <mergeCell ref="A49:K49"/>
    <mergeCell ref="K50:K58"/>
    <mergeCell ref="A57:A58"/>
    <mergeCell ref="A48:D48"/>
    <mergeCell ref="C29:C37"/>
    <mergeCell ref="A38:A41"/>
    <mergeCell ref="B38:B41"/>
    <mergeCell ref="A46:A47"/>
    <mergeCell ref="B46:B47"/>
    <mergeCell ref="C46:C47"/>
    <mergeCell ref="D46:D47"/>
    <mergeCell ref="A50:A56"/>
    <mergeCell ref="C38:C41"/>
    <mergeCell ref="A42:A45"/>
    <mergeCell ref="B42:B45"/>
    <mergeCell ref="C42:C45"/>
    <mergeCell ref="D42:D45"/>
    <mergeCell ref="B50:B56"/>
    <mergeCell ref="C50:C56"/>
    <mergeCell ref="D50:D56"/>
    <mergeCell ref="B57:B58"/>
    <mergeCell ref="C57:C58"/>
    <mergeCell ref="D57:D58"/>
    <mergeCell ref="K258:K259"/>
    <mergeCell ref="F195:J200"/>
    <mergeCell ref="K229:K231"/>
    <mergeCell ref="A214:D214"/>
    <mergeCell ref="A215:K215"/>
    <mergeCell ref="A216:K216"/>
    <mergeCell ref="K217:K228"/>
    <mergeCell ref="C217:C228"/>
    <mergeCell ref="D217:D228"/>
    <mergeCell ref="A229:A231"/>
    <mergeCell ref="B229:B231"/>
    <mergeCell ref="C229:C231"/>
    <mergeCell ref="D229:D231"/>
    <mergeCell ref="B202:B212"/>
    <mergeCell ref="A202:A212"/>
    <mergeCell ref="C202:C212"/>
    <mergeCell ref="D202:D212"/>
    <mergeCell ref="A217:A228"/>
    <mergeCell ref="B217:B228"/>
    <mergeCell ref="K202:K212"/>
    <mergeCell ref="A213:D213"/>
    <mergeCell ref="K232:K236"/>
    <mergeCell ref="B244:B253"/>
    <mergeCell ref="B232:B236"/>
    <mergeCell ref="A392:A403"/>
    <mergeCell ref="A423:A434"/>
    <mergeCell ref="B423:B434"/>
    <mergeCell ref="A59:A70"/>
    <mergeCell ref="B59:B70"/>
    <mergeCell ref="C59:C70"/>
    <mergeCell ref="A131:E131"/>
    <mergeCell ref="A123:K123"/>
    <mergeCell ref="A124:A130"/>
    <mergeCell ref="B124:B130"/>
    <mergeCell ref="C124:C130"/>
    <mergeCell ref="D124:D130"/>
    <mergeCell ref="K124:K130"/>
    <mergeCell ref="A106:A112"/>
    <mergeCell ref="B106:B112"/>
    <mergeCell ref="C106:C112"/>
    <mergeCell ref="D106:D112"/>
    <mergeCell ref="K106:K112"/>
    <mergeCell ref="A113:K113"/>
    <mergeCell ref="A114:A120"/>
    <mergeCell ref="B114:B120"/>
    <mergeCell ref="D59:D70"/>
    <mergeCell ref="K59:K70"/>
    <mergeCell ref="D258:D259"/>
    <mergeCell ref="K263:K264"/>
    <mergeCell ref="A915:K915"/>
    <mergeCell ref="B916:B927"/>
    <mergeCell ref="A916:A927"/>
    <mergeCell ref="E925:E927"/>
    <mergeCell ref="F925:F927"/>
    <mergeCell ref="G925:G927"/>
    <mergeCell ref="H925:H927"/>
    <mergeCell ref="I925:I927"/>
    <mergeCell ref="J925:J927"/>
    <mergeCell ref="A444:A453"/>
    <mergeCell ref="B444:B453"/>
    <mergeCell ref="C444:C453"/>
    <mergeCell ref="D444:D453"/>
    <mergeCell ref="K444:K453"/>
    <mergeCell ref="A485:A494"/>
    <mergeCell ref="A263:A264"/>
    <mergeCell ref="B263:B264"/>
    <mergeCell ref="C263:C264"/>
    <mergeCell ref="D263:D264"/>
    <mergeCell ref="A454:A463"/>
    <mergeCell ref="B454:B463"/>
    <mergeCell ref="C454:C463"/>
    <mergeCell ref="D454:D463"/>
    <mergeCell ref="A265:A266"/>
    <mergeCell ref="B265:B266"/>
    <mergeCell ref="C265:C266"/>
    <mergeCell ref="D265:D266"/>
    <mergeCell ref="K265:K266"/>
    <mergeCell ref="D785:D791"/>
    <mergeCell ref="B773:B784"/>
    <mergeCell ref="C773:C784"/>
    <mergeCell ref="D773:D784"/>
    <mergeCell ref="K773:K784"/>
    <mergeCell ref="A761:A772"/>
    <mergeCell ref="C608:C619"/>
    <mergeCell ref="D608:D619"/>
    <mergeCell ref="A606:K606"/>
    <mergeCell ref="A607:K607"/>
    <mergeCell ref="C589:C597"/>
    <mergeCell ref="D589:D597"/>
    <mergeCell ref="B589:B597"/>
    <mergeCell ref="A472:E472"/>
    <mergeCell ref="A473:A484"/>
    <mergeCell ref="B473:B484"/>
    <mergeCell ref="C473:C484"/>
    <mergeCell ref="D473:D484"/>
    <mergeCell ref="A518:D518"/>
    <mergeCell ref="D352:D358"/>
    <mergeCell ref="K352:K358"/>
    <mergeCell ref="A940:D940"/>
    <mergeCell ref="A929:K929"/>
    <mergeCell ref="A930:A939"/>
    <mergeCell ref="B930:B939"/>
    <mergeCell ref="C930:C939"/>
    <mergeCell ref="D930:D939"/>
    <mergeCell ref="K930:K939"/>
    <mergeCell ref="E937:E939"/>
    <mergeCell ref="F937:F939"/>
    <mergeCell ref="G937:G939"/>
    <mergeCell ref="H937:H939"/>
    <mergeCell ref="I937:I939"/>
    <mergeCell ref="J937:J939"/>
    <mergeCell ref="D392:D403"/>
    <mergeCell ref="A435:A443"/>
    <mergeCell ref="B435:B443"/>
    <mergeCell ref="C435:C443"/>
    <mergeCell ref="D435:D443"/>
    <mergeCell ref="K435:K443"/>
    <mergeCell ref="A404:A415"/>
    <mergeCell ref="B404:B415"/>
    <mergeCell ref="C404:C415"/>
  </mergeCells>
  <phoneticPr fontId="0" type="noConversion"/>
  <pageMargins left="0.74803149606299213" right="0.55118110236220474" top="0.78740157480314965" bottom="0.78740157480314965" header="0.51181102362204722" footer="0.51181102362204722"/>
  <pageSetup paperSize="9" scale="66" orientation="landscape" r:id="rId1"/>
  <headerFooter alignWithMargins="0"/>
  <rowBreaks count="46" manualBreakCount="46">
    <brk id="20" max="10" man="1"/>
    <brk id="45" max="10" man="1"/>
    <brk id="48" max="10" man="1"/>
    <brk id="81" max="10" man="1"/>
    <brk id="121" max="10" man="1"/>
    <brk id="131" max="10" man="1"/>
    <brk id="161" max="10" man="1"/>
    <brk id="173" max="10" man="1"/>
    <brk id="201" max="10" man="1"/>
    <brk id="214" max="10" man="1"/>
    <brk id="253" max="10" man="1"/>
    <brk id="257" max="10" man="1"/>
    <brk id="273" max="10" man="1"/>
    <brk id="281" max="10" man="1"/>
    <brk id="316" max="10" man="1"/>
    <brk id="327" max="10" man="1"/>
    <brk id="358" max="10" man="1"/>
    <brk id="371" max="10" man="1"/>
    <brk id="389" max="10" man="1"/>
    <brk id="422" max="10" man="1"/>
    <brk id="443" max="10" man="1"/>
    <brk id="471" max="10" man="1"/>
    <brk id="495" max="10" man="1"/>
    <brk id="504" max="10" man="1"/>
    <brk id="518" max="10" man="1"/>
    <brk id="531" max="10" man="1"/>
    <brk id="569" max="10" man="1"/>
    <brk id="581" max="10" man="1"/>
    <brk id="605" max="10" man="1"/>
    <brk id="627" max="10" man="1"/>
    <brk id="637" max="10" man="1"/>
    <brk id="675" max="10" man="1"/>
    <brk id="689" max="10" man="1"/>
    <brk id="711" max="10" man="1"/>
    <brk id="745" max="10" man="1"/>
    <brk id="758" max="10" man="1"/>
    <brk id="799" max="10" man="1"/>
    <brk id="813" max="10" man="1"/>
    <brk id="848" max="10" man="1"/>
    <brk id="868" max="10" man="1"/>
    <brk id="914" max="10" man="1"/>
    <brk id="940" max="10" man="1"/>
    <brk id="980" max="10" man="1"/>
    <brk id="1016" max="10" man="1"/>
    <brk id="1041" max="10" man="1"/>
    <brk id="105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4" sqref="B4"/>
    </sheetView>
  </sheetViews>
  <sheetFormatPr defaultRowHeight="12.75" x14ac:dyDescent="0.2"/>
  <cols>
    <col min="2" max="2" width="11.7109375" bestFit="1" customWidth="1"/>
    <col min="3" max="3" width="10.140625" bestFit="1" customWidth="1"/>
    <col min="4" max="4" width="10.140625" customWidth="1"/>
  </cols>
  <sheetData>
    <row r="1" spans="1:4" x14ac:dyDescent="0.2">
      <c r="B1" t="s">
        <v>415</v>
      </c>
    </row>
    <row r="2" spans="1:4" x14ac:dyDescent="0.2">
      <c r="B2">
        <v>2019</v>
      </c>
      <c r="C2">
        <v>2020</v>
      </c>
      <c r="D2">
        <v>2021</v>
      </c>
    </row>
    <row r="3" spans="1:4" x14ac:dyDescent="0.2">
      <c r="A3" t="s">
        <v>416</v>
      </c>
      <c r="B3" s="206">
        <f>программа!H221+программа!H248+программа!H285+программа!H294+программа!H304+программа!H309+программа!H319+программа!H334+программа!H344+программа!H364+программа!H374+программа!H396+программа!H408+программа!H420+программа!H427+программа!H438+программа!H446+программа!H456+программа!H477+программа!H487+программа!H501+программа!H510+программа!H522+программа!H278</f>
        <v>796558.1</v>
      </c>
      <c r="C3" s="205">
        <f>программа!H222+программа!H249+программа!H286+программа!H295+программа!H305+программа!H310+программа!H320+программа!H335+программа!H345+программа!H365+программа!H375+программа!H387+программа!H397+программа!H409+программа!H421+программа!H428+программа!H439+программа!H447+программа!H457+программа!H478+программа!H488+программа!H502+программа!H511+программа!H523</f>
        <v>819105.6</v>
      </c>
      <c r="D3" s="206">
        <f>программа!H223+программа!H250+программа!H296+программа!H311+программа!H336+программа!H346+программа!H366+программа!H376+программа!H398+программа!H410+программа!H448+программа!H512</f>
        <v>575579.90000000014</v>
      </c>
    </row>
    <row r="4" spans="1:4" x14ac:dyDescent="0.2">
      <c r="B4" s="206"/>
      <c r="C4" s="205"/>
      <c r="D4" s="205"/>
    </row>
    <row r="5" spans="1:4" x14ac:dyDescent="0.2">
      <c r="A5" t="s">
        <v>417</v>
      </c>
      <c r="B5" s="206">
        <f>программа!I522+программа!I510+программа!I501+программа!I487+программа!I477+программа!I456+программа!I446+программа!I438+программа!I427+программа!I420+программа!I408+программа!I396+программа!I386+программа!I374+программа!I364+программа!I344+программа!I334+программа!I319+программа!I309+программа!I304+программа!I294+программа!I285+программа!I278+программа!I248+программа!I221</f>
        <v>142093.4</v>
      </c>
      <c r="C5" s="205">
        <f>программа!I523+программа!I511+программа!I502+программа!I488+программа!I478+программа!I457+программа!I447+программа!I439+программа!I428+программа!I421+программа!I409+программа!I397+программа!I387+программа!I375+программа!I365+программа!I345+программа!I335+программа!I320+программа!I310+программа!I305+программа!I295+программа!I286+программа!I249+программа!I222</f>
        <v>133854.39999999999</v>
      </c>
      <c r="D5" s="206">
        <f>программа!I524+программа!I512+программа!I489+программа!I479+программа!I458+программа!I448+программа!I440+программа!I429+программа!I410+программа!I398+программа!I376+программа!I366+программа!I346+программа!I336+программа!I321+программа!I311+программа!I296+программа!I287+программа!I280+программа!I250+программа!I223</f>
        <v>140883.1</v>
      </c>
    </row>
    <row r="6" spans="1:4" x14ac:dyDescent="0.2">
      <c r="B6" s="206"/>
      <c r="C6" s="205"/>
      <c r="D6" s="205"/>
    </row>
    <row r="7" spans="1:4" x14ac:dyDescent="0.2">
      <c r="A7" t="s">
        <v>418</v>
      </c>
      <c r="B7" s="205">
        <f>SUM(B3:B5)</f>
        <v>938651.5</v>
      </c>
      <c r="C7" s="205">
        <f>SUM(C3:C5)</f>
        <v>952960</v>
      </c>
      <c r="D7" s="205">
        <f>SUM(D3:D5)</f>
        <v>716463.00000000012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программа</vt:lpstr>
      <vt:lpstr>Лист1</vt:lpstr>
      <vt:lpstr>программа!Область_печати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Парубец Елена Анатольевна</cp:lastModifiedBy>
  <cp:lastPrinted>2020-12-16T05:56:24Z</cp:lastPrinted>
  <dcterms:created xsi:type="dcterms:W3CDTF">1996-10-08T23:32:33Z</dcterms:created>
  <dcterms:modified xsi:type="dcterms:W3CDTF">2021-03-11T00:48:12Z</dcterms:modified>
</cp:coreProperties>
</file>