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май 2016\"/>
    </mc:Choice>
  </mc:AlternateContent>
  <bookViews>
    <workbookView xWindow="0" yWindow="0" windowWidth="20490" windowHeight="9045"/>
  </bookViews>
  <sheets>
    <sheet name="программа декабрь" sheetId="1" r:id="rId1"/>
    <sheet name="Лист2" sheetId="2" r:id="rId2"/>
  </sheets>
  <definedNames>
    <definedName name="_xlnm.Print_Area" localSheetId="0">'программа декабрь'!$A$1:$K$642</definedName>
  </definedNames>
  <calcPr calcId="152511"/>
</workbook>
</file>

<file path=xl/calcChain.xml><?xml version="1.0" encoding="utf-8"?>
<calcChain xmlns="http://schemas.openxmlformats.org/spreadsheetml/2006/main">
  <c r="H638" i="1" l="1"/>
  <c r="I638" i="1"/>
  <c r="I637" i="1"/>
  <c r="I320" i="1"/>
  <c r="F235" i="1"/>
  <c r="H235" i="1"/>
  <c r="I235" i="1"/>
  <c r="I204" i="1"/>
  <c r="F210" i="1"/>
  <c r="H212" i="1"/>
  <c r="G212" i="1"/>
  <c r="F211" i="1"/>
  <c r="F212" i="1" l="1"/>
  <c r="I212" i="1"/>
  <c r="I617" i="1"/>
  <c r="I610" i="1"/>
  <c r="I603" i="1"/>
  <c r="I596" i="1" l="1"/>
  <c r="I333" i="1"/>
  <c r="H271" i="1"/>
  <c r="H247" i="1"/>
  <c r="I229" i="1"/>
  <c r="F205" i="1"/>
  <c r="I139" i="1"/>
  <c r="I63" i="1"/>
  <c r="H641" i="1" l="1"/>
  <c r="H640" i="1"/>
  <c r="H639" i="1"/>
  <c r="H637" i="1"/>
  <c r="J641" i="1"/>
  <c r="J640" i="1"/>
  <c r="J639" i="1"/>
  <c r="J638" i="1"/>
  <c r="J637" i="1"/>
  <c r="J636" i="1"/>
  <c r="I640" i="1"/>
  <c r="I639" i="1"/>
  <c r="F200" i="1" l="1"/>
  <c r="F302" i="1" l="1"/>
  <c r="F303" i="1"/>
  <c r="F304" i="1"/>
  <c r="F305" i="1"/>
  <c r="F306" i="1"/>
  <c r="F307" i="1"/>
  <c r="I308" i="1"/>
  <c r="I309" i="1" s="1"/>
  <c r="H308" i="1"/>
  <c r="H309" i="1" s="1"/>
  <c r="G309" i="1"/>
  <c r="I332" i="1"/>
  <c r="I338" i="1" s="1"/>
  <c r="I354" i="1"/>
  <c r="I360" i="1" s="1"/>
  <c r="I367" i="1"/>
  <c r="I373" i="1"/>
  <c r="F373" i="1" s="1"/>
  <c r="I283" i="1"/>
  <c r="I290" i="1"/>
  <c r="I208" i="1"/>
  <c r="I614" i="1"/>
  <c r="F614" i="1" s="1"/>
  <c r="I16" i="1"/>
  <c r="I62" i="1"/>
  <c r="F62" i="1" s="1"/>
  <c r="I138" i="1"/>
  <c r="F138" i="1" s="1"/>
  <c r="I190" i="1"/>
  <c r="I196" i="1" s="1"/>
  <c r="I203" i="1"/>
  <c r="I228" i="1"/>
  <c r="F228" i="1" s="1"/>
  <c r="I433" i="1"/>
  <c r="I440" i="1" s="1"/>
  <c r="I609" i="1"/>
  <c r="I615" i="1" s="1"/>
  <c r="I408" i="1"/>
  <c r="I415" i="1"/>
  <c r="I422" i="1"/>
  <c r="I429" i="1"/>
  <c r="I383" i="1"/>
  <c r="I398" i="1"/>
  <c r="I390" i="1"/>
  <c r="F640" i="1"/>
  <c r="F639" i="1"/>
  <c r="F638" i="1"/>
  <c r="H466" i="1"/>
  <c r="H452" i="1"/>
  <c r="H458" i="1" s="1"/>
  <c r="H445" i="1"/>
  <c r="H451" i="1" s="1"/>
  <c r="H433" i="1"/>
  <c r="H440" i="1" s="1"/>
  <c r="H270" i="1"/>
  <c r="F270" i="1" s="1"/>
  <c r="H263" i="1"/>
  <c r="H269" i="1" s="1"/>
  <c r="H246" i="1"/>
  <c r="H252" i="1" s="1"/>
  <c r="H238" i="1"/>
  <c r="H244" i="1" s="1"/>
  <c r="H197" i="1"/>
  <c r="H190" i="1"/>
  <c r="H196" i="1" s="1"/>
  <c r="H131" i="1"/>
  <c r="H137" i="1" s="1"/>
  <c r="H23" i="1"/>
  <c r="H29" i="1" s="1"/>
  <c r="H16" i="1"/>
  <c r="F198" i="1"/>
  <c r="F199" i="1"/>
  <c r="F277" i="1"/>
  <c r="F278" i="1"/>
  <c r="F279" i="1"/>
  <c r="F280" i="1"/>
  <c r="F281" i="1"/>
  <c r="F282" i="1"/>
  <c r="F271" i="1"/>
  <c r="F272" i="1"/>
  <c r="F273" i="1"/>
  <c r="F274" i="1"/>
  <c r="F275" i="1"/>
  <c r="F264" i="1"/>
  <c r="F265" i="1"/>
  <c r="F266" i="1"/>
  <c r="F267" i="1"/>
  <c r="F268" i="1"/>
  <c r="F284" i="1"/>
  <c r="F285" i="1"/>
  <c r="F286" i="1"/>
  <c r="F287" i="1"/>
  <c r="F288" i="1"/>
  <c r="F289" i="1"/>
  <c r="H283" i="1"/>
  <c r="H290" i="1"/>
  <c r="H399" i="1"/>
  <c r="G399" i="1"/>
  <c r="F389" i="1"/>
  <c r="F388" i="1"/>
  <c r="F387" i="1"/>
  <c r="F386" i="1"/>
  <c r="F385" i="1"/>
  <c r="F384" i="1"/>
  <c r="G374" i="1"/>
  <c r="H338" i="1"/>
  <c r="H367" i="1"/>
  <c r="J346" i="1"/>
  <c r="J353" i="1"/>
  <c r="F368" i="1"/>
  <c r="H220" i="1"/>
  <c r="H209" i="1"/>
  <c r="H189" i="1"/>
  <c r="F221" i="1"/>
  <c r="F226" i="1" s="1"/>
  <c r="I226" i="1"/>
  <c r="F132" i="1"/>
  <c r="F133" i="1"/>
  <c r="F134" i="1"/>
  <c r="F135" i="1"/>
  <c r="F136" i="1"/>
  <c r="F139" i="1"/>
  <c r="F140" i="1"/>
  <c r="F141" i="1"/>
  <c r="F142" i="1"/>
  <c r="F143" i="1"/>
  <c r="F173" i="1"/>
  <c r="F178" i="1" s="1"/>
  <c r="H178" i="1"/>
  <c r="H77" i="1"/>
  <c r="H85" i="1" s="1"/>
  <c r="H54" i="1"/>
  <c r="H69" i="1" s="1"/>
  <c r="H46" i="1"/>
  <c r="H22" i="1"/>
  <c r="G179" i="1"/>
  <c r="G180" i="1" s="1"/>
  <c r="F312" i="1"/>
  <c r="I77" i="1"/>
  <c r="I84" i="1"/>
  <c r="F79" i="1"/>
  <c r="H84" i="1"/>
  <c r="J642" i="1"/>
  <c r="J622" i="1"/>
  <c r="J615" i="1"/>
  <c r="J608" i="1"/>
  <c r="J601" i="1"/>
  <c r="I631" i="1"/>
  <c r="I632" i="1" s="1"/>
  <c r="I622" i="1"/>
  <c r="I608" i="1"/>
  <c r="I601" i="1"/>
  <c r="H632" i="1"/>
  <c r="H622" i="1"/>
  <c r="H615" i="1"/>
  <c r="H608" i="1"/>
  <c r="H601" i="1"/>
  <c r="G632" i="1"/>
  <c r="G622" i="1"/>
  <c r="G615" i="1"/>
  <c r="G608" i="1"/>
  <c r="G601" i="1"/>
  <c r="F625" i="1"/>
  <c r="F626" i="1"/>
  <c r="F627" i="1"/>
  <c r="F628" i="1"/>
  <c r="F629" i="1"/>
  <c r="F630" i="1"/>
  <c r="F616" i="1"/>
  <c r="F617" i="1"/>
  <c r="F618" i="1"/>
  <c r="F619" i="1"/>
  <c r="F620" i="1"/>
  <c r="F621" i="1"/>
  <c r="F610" i="1"/>
  <c r="F611" i="1"/>
  <c r="F612" i="1"/>
  <c r="F613" i="1"/>
  <c r="F602" i="1"/>
  <c r="F603" i="1"/>
  <c r="F604" i="1"/>
  <c r="F605" i="1"/>
  <c r="F606" i="1"/>
  <c r="F607" i="1"/>
  <c r="F595" i="1"/>
  <c r="F596" i="1"/>
  <c r="F597" i="1"/>
  <c r="F598" i="1"/>
  <c r="F599" i="1"/>
  <c r="F600" i="1"/>
  <c r="I582" i="1"/>
  <c r="I575" i="1"/>
  <c r="I568" i="1"/>
  <c r="I561" i="1"/>
  <c r="I554" i="1"/>
  <c r="I547" i="1"/>
  <c r="I537" i="1"/>
  <c r="I530" i="1"/>
  <c r="I513" i="1"/>
  <c r="I521" i="1" s="1"/>
  <c r="I482" i="1"/>
  <c r="I489" i="1"/>
  <c r="I465" i="1"/>
  <c r="I472" i="1"/>
  <c r="H472" i="1"/>
  <c r="F576" i="1"/>
  <c r="F577" i="1"/>
  <c r="F578" i="1"/>
  <c r="F579" i="1"/>
  <c r="F580" i="1"/>
  <c r="F581" i="1"/>
  <c r="F569" i="1"/>
  <c r="F570" i="1"/>
  <c r="F571" i="1"/>
  <c r="F572" i="1"/>
  <c r="F573" i="1"/>
  <c r="F574" i="1"/>
  <c r="F562" i="1"/>
  <c r="F563" i="1"/>
  <c r="F564" i="1"/>
  <c r="F565" i="1"/>
  <c r="F566" i="1"/>
  <c r="F567" i="1"/>
  <c r="F555" i="1"/>
  <c r="F556" i="1"/>
  <c r="F557" i="1"/>
  <c r="F558" i="1"/>
  <c r="F559" i="1"/>
  <c r="F560" i="1"/>
  <c r="F548" i="1"/>
  <c r="F549" i="1"/>
  <c r="F550" i="1"/>
  <c r="F551" i="1"/>
  <c r="F552" i="1"/>
  <c r="F553" i="1"/>
  <c r="F541" i="1"/>
  <c r="F542" i="1"/>
  <c r="F543" i="1"/>
  <c r="F544" i="1"/>
  <c r="F545" i="1"/>
  <c r="F546" i="1"/>
  <c r="F531" i="1"/>
  <c r="F532" i="1"/>
  <c r="F533" i="1"/>
  <c r="F534" i="1"/>
  <c r="F535" i="1"/>
  <c r="F536" i="1"/>
  <c r="F524" i="1"/>
  <c r="F525" i="1"/>
  <c r="F526" i="1"/>
  <c r="F527" i="1"/>
  <c r="F528" i="1"/>
  <c r="F529" i="1"/>
  <c r="F507" i="1"/>
  <c r="F508" i="1"/>
  <c r="F509" i="1"/>
  <c r="F510" i="1"/>
  <c r="F511" i="1"/>
  <c r="F512" i="1"/>
  <c r="F476" i="1"/>
  <c r="F477" i="1"/>
  <c r="F478" i="1"/>
  <c r="F479" i="1"/>
  <c r="F480" i="1"/>
  <c r="F481" i="1"/>
  <c r="F483" i="1"/>
  <c r="F484" i="1"/>
  <c r="F485" i="1"/>
  <c r="F486" i="1"/>
  <c r="F487" i="1"/>
  <c r="F488" i="1"/>
  <c r="G473" i="1"/>
  <c r="F446" i="1"/>
  <c r="F447" i="1"/>
  <c r="F448" i="1"/>
  <c r="F449" i="1"/>
  <c r="F450" i="1"/>
  <c r="F453" i="1"/>
  <c r="F454" i="1"/>
  <c r="F455" i="1"/>
  <c r="F456" i="1"/>
  <c r="F457" i="1"/>
  <c r="F459" i="1"/>
  <c r="F460" i="1"/>
  <c r="F461" i="1"/>
  <c r="F462" i="1"/>
  <c r="F463" i="1"/>
  <c r="F464" i="1"/>
  <c r="F466" i="1"/>
  <c r="F467" i="1"/>
  <c r="F468" i="1"/>
  <c r="F469" i="1"/>
  <c r="F470" i="1"/>
  <c r="F471" i="1"/>
  <c r="H430" i="1"/>
  <c r="F434" i="1"/>
  <c r="F435" i="1"/>
  <c r="F436" i="1"/>
  <c r="F437" i="1"/>
  <c r="F438" i="1"/>
  <c r="I439" i="1"/>
  <c r="G430" i="1"/>
  <c r="F402" i="1"/>
  <c r="F403" i="1"/>
  <c r="F404" i="1"/>
  <c r="F405" i="1"/>
  <c r="F406" i="1"/>
  <c r="F407" i="1"/>
  <c r="F409" i="1"/>
  <c r="F410" i="1"/>
  <c r="F411" i="1"/>
  <c r="F412" i="1"/>
  <c r="F413" i="1"/>
  <c r="F414" i="1"/>
  <c r="F416" i="1"/>
  <c r="F417" i="1"/>
  <c r="F418" i="1"/>
  <c r="F419" i="1"/>
  <c r="F420" i="1"/>
  <c r="F421" i="1"/>
  <c r="F423" i="1"/>
  <c r="F424" i="1"/>
  <c r="F425" i="1"/>
  <c r="F426" i="1"/>
  <c r="F427" i="1"/>
  <c r="F428" i="1"/>
  <c r="F377" i="1"/>
  <c r="F378" i="1"/>
  <c r="F379" i="1"/>
  <c r="F380" i="1"/>
  <c r="F381" i="1"/>
  <c r="F382" i="1"/>
  <c r="F392" i="1"/>
  <c r="F393" i="1"/>
  <c r="F394" i="1"/>
  <c r="F395" i="1"/>
  <c r="F396" i="1"/>
  <c r="F397" i="1"/>
  <c r="F361" i="1"/>
  <c r="F367" i="1" s="1"/>
  <c r="F355" i="1"/>
  <c r="F356" i="1"/>
  <c r="F357" i="1"/>
  <c r="F358" i="1"/>
  <c r="F359" i="1"/>
  <c r="F350" i="1"/>
  <c r="F351" i="1"/>
  <c r="F352" i="1"/>
  <c r="F343" i="1"/>
  <c r="F344" i="1"/>
  <c r="F345" i="1"/>
  <c r="F333" i="1"/>
  <c r="F334" i="1"/>
  <c r="F335" i="1"/>
  <c r="F336" i="1"/>
  <c r="F337" i="1"/>
  <c r="I299" i="1"/>
  <c r="I300" i="1" s="1"/>
  <c r="I220" i="1"/>
  <c r="I209" i="1"/>
  <c r="I189" i="1"/>
  <c r="H317" i="1"/>
  <c r="H300" i="1"/>
  <c r="G300" i="1"/>
  <c r="G291" i="1"/>
  <c r="F311" i="1"/>
  <c r="F313" i="1"/>
  <c r="F314" i="1"/>
  <c r="F315" i="1"/>
  <c r="F316" i="1"/>
  <c r="F293" i="1"/>
  <c r="F294" i="1"/>
  <c r="F295" i="1"/>
  <c r="F296" i="1"/>
  <c r="F297" i="1"/>
  <c r="F298" i="1"/>
  <c r="F239" i="1"/>
  <c r="F240" i="1"/>
  <c r="F241" i="1"/>
  <c r="F242" i="1"/>
  <c r="F243" i="1"/>
  <c r="F247" i="1"/>
  <c r="F248" i="1"/>
  <c r="F249" i="1"/>
  <c r="F250" i="1"/>
  <c r="F251" i="1"/>
  <c r="F229" i="1"/>
  <c r="F230" i="1"/>
  <c r="F231" i="1"/>
  <c r="F232" i="1"/>
  <c r="F233" i="1"/>
  <c r="F214" i="1"/>
  <c r="F215" i="1"/>
  <c r="F203" i="1"/>
  <c r="F204" i="1"/>
  <c r="F206" i="1"/>
  <c r="F207" i="1"/>
  <c r="F208" i="1"/>
  <c r="F191" i="1"/>
  <c r="F187" i="1"/>
  <c r="F188" i="1"/>
  <c r="L229" i="1"/>
  <c r="G209" i="1"/>
  <c r="I197" i="1"/>
  <c r="I201" i="1" s="1"/>
  <c r="H201" i="1"/>
  <c r="G189" i="1"/>
  <c r="I101" i="1"/>
  <c r="I93" i="1"/>
  <c r="F93" i="1" s="1"/>
  <c r="I54" i="1"/>
  <c r="I61" i="1"/>
  <c r="I46" i="1"/>
  <c r="I22" i="1"/>
  <c r="I29" i="1"/>
  <c r="F95" i="1"/>
  <c r="F96" i="1"/>
  <c r="F97" i="1"/>
  <c r="F98" i="1"/>
  <c r="F99" i="1"/>
  <c r="F100" i="1"/>
  <c r="F92" i="1"/>
  <c r="F91" i="1"/>
  <c r="F90" i="1"/>
  <c r="F89" i="1"/>
  <c r="F88" i="1"/>
  <c r="F87" i="1"/>
  <c r="F73" i="1"/>
  <c r="F71" i="1"/>
  <c r="F48" i="1"/>
  <c r="F54" i="1" s="1"/>
  <c r="F55" i="1"/>
  <c r="F61" i="1" s="1"/>
  <c r="F63" i="1"/>
  <c r="F64" i="1"/>
  <c r="F65" i="1"/>
  <c r="F66" i="1"/>
  <c r="F67" i="1"/>
  <c r="G45" i="1"/>
  <c r="G46" i="1" s="1"/>
  <c r="F39" i="1"/>
  <c r="F40" i="1"/>
  <c r="F41" i="1"/>
  <c r="F42" i="1"/>
  <c r="F43" i="1"/>
  <c r="F44" i="1"/>
  <c r="I45" i="1"/>
  <c r="H45" i="1"/>
  <c r="J30" i="1"/>
  <c r="G22" i="1"/>
  <c r="G29" i="1"/>
  <c r="F16" i="1"/>
  <c r="F22" i="1" s="1"/>
  <c r="F238" i="1" l="1"/>
  <c r="F244" i="1" s="1"/>
  <c r="I68" i="1"/>
  <c r="I69" i="1" s="1"/>
  <c r="I234" i="1"/>
  <c r="F23" i="1"/>
  <c r="F29" i="1" s="1"/>
  <c r="F30" i="1" s="1"/>
  <c r="H439" i="1"/>
  <c r="F354" i="1"/>
  <c r="F360" i="1" s="1"/>
  <c r="F445" i="1"/>
  <c r="F451" i="1" s="1"/>
  <c r="F220" i="1"/>
  <c r="F332" i="1"/>
  <c r="F338" i="1" s="1"/>
  <c r="F575" i="1"/>
  <c r="F353" i="1"/>
  <c r="H276" i="1"/>
  <c r="H291" i="1" s="1"/>
  <c r="G320" i="1"/>
  <c r="I538" i="1"/>
  <c r="F538" i="1" s="1"/>
  <c r="I641" i="1"/>
  <c r="F641" i="1" s="1"/>
  <c r="I504" i="1"/>
  <c r="J374" i="1"/>
  <c r="J442" i="1" s="1"/>
  <c r="F276" i="1"/>
  <c r="F609" i="1"/>
  <c r="F615" i="1" s="1"/>
  <c r="F283" i="1"/>
  <c r="H636" i="1"/>
  <c r="H642" i="1" s="1"/>
  <c r="I636" i="1"/>
  <c r="I642" i="1" s="1"/>
  <c r="H260" i="1"/>
  <c r="I30" i="1"/>
  <c r="F346" i="1"/>
  <c r="I144" i="1"/>
  <c r="I179" i="1" s="1"/>
  <c r="H374" i="1"/>
  <c r="H442" i="1" s="1"/>
  <c r="H30" i="1"/>
  <c r="H102" i="1" s="1"/>
  <c r="F433" i="1"/>
  <c r="F439" i="1" s="1"/>
  <c r="F317" i="1"/>
  <c r="F554" i="1"/>
  <c r="F622" i="1"/>
  <c r="F77" i="1"/>
  <c r="F189" i="1"/>
  <c r="F246" i="1"/>
  <c r="F252" i="1" s="1"/>
  <c r="F422" i="1"/>
  <c r="F489" i="1"/>
  <c r="F513" i="1"/>
  <c r="F521" i="1" s="1"/>
  <c r="F547" i="1"/>
  <c r="I473" i="1"/>
  <c r="F631" i="1"/>
  <c r="F632" i="1" s="1"/>
  <c r="H623" i="1"/>
  <c r="H634" i="1" s="1"/>
  <c r="I85" i="1"/>
  <c r="F85" i="1" s="1"/>
  <c r="F190" i="1"/>
  <c r="F196" i="1" s="1"/>
  <c r="H473" i="1"/>
  <c r="H592" i="1" s="1"/>
  <c r="G30" i="1"/>
  <c r="F299" i="1"/>
  <c r="F300" i="1" s="1"/>
  <c r="F398" i="1"/>
  <c r="F383" i="1"/>
  <c r="F465" i="1"/>
  <c r="F537" i="1"/>
  <c r="F568" i="1"/>
  <c r="G623" i="1"/>
  <c r="G634" i="1" s="1"/>
  <c r="F131" i="1"/>
  <c r="F137" i="1" s="1"/>
  <c r="I430" i="1"/>
  <c r="I291" i="1"/>
  <c r="F209" i="1"/>
  <c r="F429" i="1"/>
  <c r="F415" i="1"/>
  <c r="F472" i="1"/>
  <c r="F452" i="1"/>
  <c r="F458" i="1" s="1"/>
  <c r="F482" i="1"/>
  <c r="F530" i="1"/>
  <c r="I590" i="1"/>
  <c r="F590" i="1" s="1"/>
  <c r="F608" i="1"/>
  <c r="I399" i="1"/>
  <c r="I374" i="1"/>
  <c r="F408" i="1"/>
  <c r="F45" i="1"/>
  <c r="F46" i="1" s="1"/>
  <c r="F234" i="1"/>
  <c r="F561" i="1"/>
  <c r="F582" i="1"/>
  <c r="J623" i="1"/>
  <c r="J634" i="1" s="1"/>
  <c r="F84" i="1"/>
  <c r="F390" i="1"/>
  <c r="F290" i="1"/>
  <c r="H179" i="1"/>
  <c r="F308" i="1"/>
  <c r="F309" i="1" s="1"/>
  <c r="I623" i="1"/>
  <c r="I634" i="1" s="1"/>
  <c r="F601" i="1"/>
  <c r="F637" i="1"/>
  <c r="F68" i="1"/>
  <c r="F69" i="1" s="1"/>
  <c r="F101" i="1"/>
  <c r="F144" i="1"/>
  <c r="F263" i="1"/>
  <c r="F269" i="1" s="1"/>
  <c r="F197" i="1"/>
  <c r="F201" i="1" s="1"/>
  <c r="F399" i="1" l="1"/>
  <c r="I442" i="1"/>
  <c r="F442" i="1" s="1"/>
  <c r="H320" i="1"/>
  <c r="F440" i="1"/>
  <c r="F473" i="1"/>
  <c r="I592" i="1"/>
  <c r="F592" i="1" s="1"/>
  <c r="I102" i="1"/>
  <c r="I180" i="1" s="1"/>
  <c r="H180" i="1"/>
  <c r="F430" i="1"/>
  <c r="F179" i="1"/>
  <c r="F320" i="1"/>
  <c r="F291" i="1"/>
  <c r="F260" i="1"/>
  <c r="F374" i="1"/>
  <c r="F623" i="1"/>
  <c r="F634" i="1" s="1"/>
  <c r="F504" i="1"/>
  <c r="F636" i="1"/>
  <c r="F642" i="1" s="1"/>
  <c r="F180" i="1" l="1"/>
  <c r="F102" i="1"/>
</calcChain>
</file>

<file path=xl/sharedStrings.xml><?xml version="1.0" encoding="utf-8"?>
<sst xmlns="http://schemas.openxmlformats.org/spreadsheetml/2006/main" count="593" uniqueCount="288">
  <si>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</si>
  <si>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</si>
  <si>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</si>
  <si>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</si>
  <si>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</si>
  <si>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</si>
  <si>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</si>
  <si>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</si>
  <si>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</si>
  <si>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</si>
  <si>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</si>
  <si>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</si>
  <si>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</si>
  <si>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</si>
  <si>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</si>
  <si>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</si>
  <si>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</si>
  <si>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</si>
  <si>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</si>
  <si>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</si>
  <si>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</si>
  <si>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1.2.1</t>
  </si>
  <si>
    <t>1.2.2</t>
  </si>
  <si>
    <t>ИТОГО по п. 1.2.</t>
  </si>
  <si>
    <t>1.3. Обеспечение функционирования дошкольных образовательных организаций</t>
  </si>
  <si>
    <t>1.3.1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</si>
  <si>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</si>
  <si>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>1.3.2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</si>
  <si>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</si>
  <si>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</si>
  <si>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</si>
  <si>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</si>
  <si>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1.4.1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</si>
  <si>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</si>
  <si>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</si>
  <si>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1.5.1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</si>
  <si>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</si>
  <si>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</si>
  <si>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1.6.1</t>
  </si>
  <si>
    <t>Приобретение оборудования для организации обучения детей – инвалидов в дошкольных образовательных организациях</t>
  </si>
  <si>
    <t>2.1.1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</si>
  <si>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</si>
  <si>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</si>
  <si>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</si>
  <si>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</si>
  <si>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</si>
  <si>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3.1.1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</si>
  <si>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</si>
  <si>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</si>
  <si>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3.1.2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</si>
  <si>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</si>
  <si>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</si>
  <si>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</si>
  <si>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</si>
  <si>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3.2.1.1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</si>
  <si>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</si>
  <si>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</si>
  <si>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</si>
  <si>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</si>
  <si>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</si>
  <si>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</si>
  <si>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</si>
  <si>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3.2.3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</si>
  <si>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</si>
  <si>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3.2.4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</si>
  <si>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</si>
  <si>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</si>
  <si>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</si>
  <si>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3.2.5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</si>
  <si>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</si>
  <si>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</si>
  <si>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</si>
  <si>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</si>
  <si>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</si>
  <si>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</si>
  <si>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</si>
  <si>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Тепловая и электрическая энергия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</si>
  <si>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</si>
  <si>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</si>
  <si>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</si>
  <si>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</si>
  <si>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2.2.1</t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</si>
  <si>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</si>
  <si>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</si>
  <si>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</si>
  <si>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3.1.3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</si>
  <si>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</si>
  <si>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</si>
  <si>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t>2.1.2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</si>
  <si>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</si>
  <si>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</si>
  <si>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</si>
  <si>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</si>
  <si>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</si>
  <si>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</si>
  <si>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</si>
  <si>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</si>
  <si>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</si>
  <si>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</si>
  <si>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</si>
  <si>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</si>
  <si>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</si>
  <si>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5.1.Проведение мероприятий по формированию положительного имиджа педагога в обществе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</si>
  <si>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</si>
  <si>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</si>
  <si>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</si>
  <si>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</si>
  <si>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селе.</t>
  </si>
  <si>
    <t>Заочное обучение и целевая подготовка специалистов</t>
  </si>
  <si>
    <t>Аттестация педагогический работников муниципальных образовательных организаций</t>
  </si>
  <si>
    <t>2.1.3</t>
  </si>
  <si>
    <t>Переход на конкурсную основу  отбора руководителей образовательных организаций</t>
  </si>
  <si>
    <t>2.1.4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</si>
  <si>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</si>
  <si>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</si>
  <si>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</si>
  <si>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</si>
  <si>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</si>
  <si>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</si>
  <si>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</si>
  <si>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</si>
  <si>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5.1.2</t>
  </si>
  <si>
    <t>5.1.3</t>
  </si>
  <si>
    <t>5.1.4</t>
  </si>
  <si>
    <t>Участие педагогов в областных  конференциях, педагогических чтениях, круглых столах</t>
  </si>
  <si>
    <t>5.1.5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</si>
  <si>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</si>
  <si>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5.1.7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</si>
  <si>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</si>
  <si>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</si>
  <si>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</si>
  <si>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</si>
  <si>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</si>
  <si>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</si>
  <si>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Создание условий для функционирования лагерей с питанием:Страхование, дератизация, акарицидная обработка, средства оказания первой медицинской помощи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</si>
  <si>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</si>
  <si>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</si>
  <si>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</si>
  <si>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</si>
  <si>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</si>
  <si>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</si>
  <si>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</si>
  <si>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</si>
  <si>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</si>
  <si>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</si>
  <si>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 xml:space="preserve"> «Холмский городской округ» на 2015-2020 годы»</t>
  </si>
  <si>
    <t>1.3.1.</t>
  </si>
  <si>
    <t>МБУ МО "Холмский городской округ" "Отдел капитального строительства"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</si>
  <si>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</si>
  <si>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</si>
  <si>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1.3.3</t>
  </si>
  <si>
    <t>Строительство мастерских МБОУ СОШ № 9</t>
  </si>
  <si>
    <t>1.2. Капитальный ремонт зданий функционирующих общеобразовательных организаций</t>
  </si>
  <si>
    <t>4.1</t>
  </si>
  <si>
    <t>Развитие муниципальной системы выявления одаренных детей, в том числе проведение муниципальных мероприятий, награждение одаренных школьников (медалистов, победителей и призеров предметных олимпиад)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</si>
  <si>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</si>
  <si>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</si>
  <si>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</si>
  <si>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</si>
  <si>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</si>
  <si>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1.4.2</t>
  </si>
  <si>
    <t>Обеспечение пожарной безопасности на территориях образовательных организаций</t>
  </si>
  <si>
    <t>2.2.5</t>
  </si>
  <si>
    <t>3.2.6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</si>
  <si>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</si>
  <si>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>1.4.1.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</si>
  <si>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</si>
  <si>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</si>
  <si>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</si>
  <si>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</si>
  <si>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</si>
  <si>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Мероприятия по антитеррористической безопасности образовательных учреждений (оборудование системами видеонаблюдения, установка ограждений)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</si>
  <si>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</si>
  <si>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</si>
  <si>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</si>
  <si>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Установка систем видеонаблюдения, кнопок экстренного вызова полиции позволит обеспечить антитеррористическую безопасность в дошкольных образовательных организациях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</si>
  <si>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</si>
  <si>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</si>
  <si>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Обеспечение доступности общего образования. Создание к 2020 году 400 мест для школьников.</t>
  </si>
  <si>
    <t>Ввод в эксплуатацию в 2016 году объекта строительства, открытие нового спортивного зала</t>
  </si>
  <si>
    <t>2019 -2020</t>
  </si>
  <si>
    <t>2017 -2018</t>
  </si>
  <si>
    <t>Комфортные и безопасные условия обучения и воспитания в общеобразовательных учреждениях</t>
  </si>
  <si>
    <t>Мероприятия по антитеррористической безопасности образовательных учреждений (оборудование системами видеонаблюдения, установка и ремонт ограждений и наружного освещения территорий)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</si>
  <si>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заработной плате в регионе; повысится качество кадрового состава общего образования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</si>
  <si>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</si>
  <si>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</si>
  <si>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2.3.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</si>
  <si>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</si>
  <si>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</si>
  <si>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</si>
  <si>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</si>
  <si>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</si>
  <si>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</si>
  <si>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</si>
  <si>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</si>
  <si>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</si>
  <si>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</si>
  <si>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</si>
  <si>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</si>
  <si>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</si>
  <si>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</si>
  <si>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</si>
  <si>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</si>
  <si>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</si>
  <si>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</si>
  <si>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>Организация и проведение мероприятий, связанных с развитием детского и молодежного движения. Участие в областных мероприятиях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</si>
  <si>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</si>
  <si>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</si>
  <si>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</si>
  <si>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</si>
  <si>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</si>
  <si>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</si>
  <si>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</si>
  <si>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</si>
  <si>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</si>
  <si>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</si>
  <si>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</si>
  <si>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</si>
  <si>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</si>
  <si>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</si>
  <si>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</si>
  <si>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</si>
  <si>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1.4 Обеспечение функционирования общеобразовательных учреждений, в том числе с учетом современных требований энергоэффективности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</si>
  <si>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</si>
  <si>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</si>
  <si>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</si>
  <si>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</si>
  <si>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</si>
  <si>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</si>
  <si>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</si>
  <si>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</si>
  <si>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</si>
  <si>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</si>
  <si>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</si>
  <si>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</si>
  <si>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</si>
  <si>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</si>
  <si>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</si>
  <si>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</si>
  <si>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</si>
  <si>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</si>
  <si>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</si>
  <si>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</si>
  <si>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</si>
  <si>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</si>
  <si>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</si>
  <si>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</si>
  <si>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</si>
  <si>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</si>
  <si>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</si>
  <si>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</si>
  <si>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</si>
  <si>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</si>
  <si>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</si>
  <si>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</si>
  <si>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2016-2020</t>
  </si>
  <si>
    <t>Управление образования администрации МО «Холмский городской округ»</t>
  </si>
  <si>
    <t>Строительство новой школы в 7-ом микрорайоне на 400 мест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</si>
  <si>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</si>
  <si>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</si>
  <si>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</si>
  <si>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</si>
  <si>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>2016 - 2020</t>
  </si>
  <si>
    <t xml:space="preserve">Муниципальные профессиональные конкурсы: «Учитель года», «Воспитатель года», «Самый классный классный», «Сердце отдаю детям» 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</si>
  <si>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</si>
  <si>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</si>
  <si>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</si>
  <si>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</si>
  <si>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</si>
  <si>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</si>
  <si>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</si>
  <si>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</si>
  <si>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</si>
  <si>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</si>
  <si>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</si>
  <si>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</si>
  <si>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</si>
  <si>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>Конкурсный отбор общеобразовательных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</si>
  <si>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</si>
  <si>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5.1.6</t>
  </si>
  <si>
    <t>Приложение № 3</t>
  </si>
  <si>
    <t xml:space="preserve">к муниципальной программе «Развитие образования в муниципальном образовании «Холмский городской округ» на 2015-2020 годы» 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</si>
  <si>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</si>
  <si>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 xml:space="preserve">Укрепление материально – технической базы образовательных учреждений (капитальный ремонт, замена оконных блоков, благоустройство территории, в том числе разработка проектно-сметной документации) </t>
  </si>
  <si>
    <t>1.2.2.</t>
  </si>
  <si>
    <t>2016 -2017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</si>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</sst>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</font>
    <font>
      <b/>
      <sz val="11"/>
      <name val="Arial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3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12" fillId="0" borderId="2" xfId="0" applyNumberFormat="1" applyFont="1" applyFill="1" applyBorder="1" applyAlignment="1"/>
    <xf numFmtId="164" fontId="8" fillId="0" borderId="3" xfId="0" applyNumberFormat="1" applyFont="1" applyFill="1" applyBorder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164" fontId="8" fillId="0" borderId="4" xfId="0" applyNumberFormat="1" applyFont="1" applyFill="1" applyBorder="1" applyAlignment="1">
      <alignment horizontal="right" vertical="top" wrapText="1"/>
    </xf>
    <xf numFmtId="164" fontId="8" fillId="0" borderId="3" xfId="0" applyNumberFormat="1" applyFont="1" applyFill="1" applyBorder="1" applyAlignment="1">
      <alignment horizontal="right"/>
    </xf>
    <xf numFmtId="164" fontId="14" fillId="0" borderId="2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justify" vertical="top"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164" fontId="11" fillId="0" borderId="3" xfId="0" applyNumberFormat="1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right" vertical="top"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8" fillId="0" borderId="15" xfId="0" applyNumberFormat="1" applyFont="1" applyFill="1" applyBorder="1" applyAlignment="1">
      <alignment horizontal="right" vertical="top"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164" fontId="2" fillId="0" borderId="2" xfId="0" applyNumberFormat="1" applyFont="1" applyFill="1" applyBorder="1" applyAlignment="1">
      <alignment wrapText="1"/>
    </xf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2" fontId="0" fillId="0" borderId="0" xfId="0" applyNumberFormat="1" applyFill="1"/>
    <xf numFmtId="0" fontId="2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wrapText="1"/>
    </xf>
    <xf numFmtId="0" fontId="14" fillId="0" borderId="2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right" wrapText="1"/>
    </xf>
    <xf numFmtId="0" fontId="2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justify" vertical="center" wrapText="1"/>
    </xf>
    <xf numFmtId="0" fontId="21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8" fillId="0" borderId="2" xfId="0" applyNumberFormat="1" applyFont="1" applyFill="1" applyBorder="1" applyAlignment="1">
      <alignment horizontal="justify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8" fillId="0" borderId="2" xfId="0" applyNumberFormat="1" applyFont="1" applyFill="1" applyBorder="1"/>
    <xf numFmtId="164" fontId="12" fillId="0" borderId="2" xfId="0" applyNumberFormat="1" applyFont="1" applyFill="1" applyBorder="1"/>
    <xf numFmtId="164" fontId="3" fillId="0" borderId="16" xfId="0" applyNumberFormat="1" applyFont="1" applyFill="1" applyBorder="1" applyAlignment="1"/>
    <xf numFmtId="164" fontId="8" fillId="0" borderId="16" xfId="0" applyNumberFormat="1" applyFont="1" applyFill="1" applyBorder="1" applyAlignment="1"/>
    <xf numFmtId="0" fontId="0" fillId="0" borderId="3" xfId="0" applyFill="1" applyBorder="1" applyAlignment="1"/>
    <xf numFmtId="164" fontId="3" fillId="0" borderId="30" xfId="0" applyNumberFormat="1" applyFont="1" applyFill="1" applyBorder="1" applyAlignment="1">
      <alignment horizontal="right" vertical="top" wrapText="1"/>
    </xf>
    <xf numFmtId="0" fontId="8" fillId="0" borderId="42" xfId="0" applyFont="1" applyFill="1" applyBorder="1" applyAlignment="1">
      <alignment horizontal="justify" vertical="top" wrapText="1"/>
    </xf>
    <xf numFmtId="164" fontId="8" fillId="0" borderId="42" xfId="0" applyNumberFormat="1" applyFont="1" applyFill="1" applyBorder="1" applyAlignment="1">
      <alignment horizontal="right" vertical="top" wrapText="1"/>
    </xf>
    <xf numFmtId="164" fontId="8" fillId="0" borderId="42" xfId="0" applyNumberFormat="1" applyFont="1" applyFill="1" applyBorder="1" applyAlignment="1">
      <alignment horizontal="justify" vertical="top" wrapText="1"/>
    </xf>
    <xf numFmtId="0" fontId="8" fillId="0" borderId="43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/>
    <xf numFmtId="0" fontId="0" fillId="0" borderId="2" xfId="0" applyFill="1" applyBorder="1" applyAlignment="1">
      <alignment horizontal="justify" vertical="top" wrapText="1"/>
    </xf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justify" vertical="top" wrapText="1"/>
    </xf>
    <xf numFmtId="0" fontId="0" fillId="0" borderId="2" xfId="0" applyFill="1" applyBorder="1" applyAlignment="1"/>
    <xf numFmtId="0" fontId="7" fillId="0" borderId="10" xfId="0" applyFont="1" applyFill="1" applyBorder="1" applyAlignment="1">
      <alignment horizontal="justify" vertical="top" wrapText="1"/>
    </xf>
    <xf numFmtId="0" fontId="0" fillId="0" borderId="24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3" fillId="0" borderId="2" xfId="0" applyFont="1" applyFill="1" applyBorder="1" applyAlignment="1"/>
    <xf numFmtId="0" fontId="16" fillId="0" borderId="42" xfId="0" applyFont="1" applyFill="1" applyBorder="1" applyAlignment="1">
      <alignment horizontal="justify" vertical="top" wrapText="1"/>
    </xf>
    <xf numFmtId="164" fontId="11" fillId="0" borderId="42" xfId="0" applyNumberFormat="1" applyFont="1" applyFill="1" applyBorder="1" applyAlignment="1">
      <alignment horizontal="justify" vertical="top" wrapText="1"/>
    </xf>
    <xf numFmtId="0" fontId="11" fillId="0" borderId="43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" xfId="0" applyFill="1" applyBorder="1" applyAlignment="1">
      <alignment wrapText="1"/>
    </xf>
    <xf numFmtId="49" fontId="10" fillId="0" borderId="10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0" fontId="2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7" fillId="0" borderId="34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49" fontId="0" fillId="0" borderId="13" xfId="0" applyNumberFormat="1" applyFill="1" applyBorder="1" applyAlignment="1"/>
    <xf numFmtId="0" fontId="2" fillId="0" borderId="33" xfId="0" applyFont="1" applyFill="1" applyBorder="1" applyAlignment="1">
      <alignment wrapText="1"/>
    </xf>
    <xf numFmtId="0" fontId="9" fillId="0" borderId="32" xfId="0" applyFont="1" applyFill="1" applyBorder="1" applyAlignment="1">
      <alignment wrapText="1"/>
    </xf>
    <xf numFmtId="0" fontId="0" fillId="0" borderId="3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49" fontId="10" fillId="0" borderId="19" xfId="0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wrapText="1"/>
    </xf>
    <xf numFmtId="0" fontId="9" fillId="0" borderId="42" xfId="0" applyFont="1" applyFill="1" applyBorder="1" applyAlignment="1">
      <alignment wrapText="1"/>
    </xf>
    <xf numFmtId="0" fontId="9" fillId="0" borderId="43" xfId="0" applyFont="1" applyFill="1" applyBorder="1" applyAlignment="1">
      <alignment wrapText="1"/>
    </xf>
    <xf numFmtId="49" fontId="3" fillId="0" borderId="19" xfId="0" applyNumberFormat="1" applyFont="1" applyFill="1" applyBorder="1" applyAlignment="1"/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0" fontId="10" fillId="0" borderId="3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/>
    <xf numFmtId="0" fontId="7" fillId="0" borderId="32" xfId="0" applyFont="1" applyFill="1" applyBorder="1" applyAlignment="1">
      <alignment horizontal="justify" vertical="top" wrapText="1"/>
    </xf>
    <xf numFmtId="0" fontId="9" fillId="0" borderId="0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horizontal="justify" vertical="top" wrapText="1"/>
    </xf>
    <xf numFmtId="0" fontId="19" fillId="0" borderId="3" xfId="0" applyFont="1" applyFill="1" applyBorder="1" applyAlignment="1">
      <alignment horizontal="justify" wrapText="1"/>
    </xf>
    <xf numFmtId="0" fontId="9" fillId="0" borderId="16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0" fontId="2" fillId="0" borderId="3" xfId="0" applyFont="1" applyFill="1" applyBorder="1" applyAlignment="1">
      <alignment horizontal="justify" wrapText="1"/>
    </xf>
    <xf numFmtId="0" fontId="2" fillId="0" borderId="16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justify" vertical="top" wrapText="1"/>
    </xf>
    <xf numFmtId="0" fontId="3" fillId="0" borderId="13" xfId="0" applyFont="1" applyFill="1" applyBorder="1" applyAlignment="1"/>
    <xf numFmtId="0" fontId="2" fillId="0" borderId="3" xfId="0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3" fillId="0" borderId="3" xfId="0" applyFont="1" applyFill="1" applyBorder="1" applyAlignment="1"/>
    <xf numFmtId="0" fontId="3" fillId="0" borderId="16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9" fillId="0" borderId="3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center" wrapText="1"/>
    </xf>
    <xf numFmtId="0" fontId="9" fillId="0" borderId="16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4" xfId="0" applyFill="1" applyBorder="1" applyAlignment="1">
      <alignment wrapText="1"/>
    </xf>
    <xf numFmtId="49" fontId="3" fillId="0" borderId="2" xfId="0" applyNumberFormat="1" applyFont="1" applyFill="1" applyBorder="1" applyAlignment="1"/>
    <xf numFmtId="0" fontId="7" fillId="0" borderId="2" xfId="0" applyFont="1" applyFill="1" applyBorder="1" applyAlignment="1"/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14" fillId="0" borderId="15" xfId="0" applyFont="1" applyFill="1" applyBorder="1" applyAlignment="1">
      <alignment wrapText="1"/>
    </xf>
    <xf numFmtId="0" fontId="7" fillId="0" borderId="34" xfId="0" applyFont="1" applyFill="1" applyBorder="1" applyAlignment="1">
      <alignment horizontal="justify" vertical="top"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/>
    <xf numFmtId="0" fontId="7" fillId="0" borderId="10" xfId="0" applyFont="1" applyFill="1" applyBorder="1" applyAlignment="1">
      <alignment horizontal="justify" wrapText="1"/>
    </xf>
    <xf numFmtId="0" fontId="9" fillId="0" borderId="24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0" fontId="3" fillId="0" borderId="10" xfId="0" applyFont="1" applyFill="1" applyBorder="1" applyAlignment="1">
      <alignment horizontal="justify" vertical="top" wrapText="1"/>
    </xf>
    <xf numFmtId="0" fontId="1" fillId="0" borderId="24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0" fillId="0" borderId="3" xfId="0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10" fillId="0" borderId="9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0" fillId="0" borderId="39" xfId="0" applyFont="1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wrapText="1"/>
    </xf>
    <xf numFmtId="0" fontId="25" fillId="0" borderId="2" xfId="0" applyFont="1" applyFill="1" applyBorder="1" applyAlignment="1">
      <alignment vertical="top" wrapText="1"/>
    </xf>
    <xf numFmtId="0" fontId="27" fillId="0" borderId="2" xfId="0" applyFont="1" applyFill="1" applyBorder="1" applyAlignment="1">
      <alignment vertical="top" wrapText="1"/>
    </xf>
    <xf numFmtId="0" fontId="0" fillId="0" borderId="16" xfId="0" applyFill="1" applyBorder="1" applyAlignment="1">
      <alignment horizontal="justify" wrapText="1"/>
    </xf>
    <xf numFmtId="0" fontId="0" fillId="0" borderId="1" xfId="0" applyFill="1" applyBorder="1" applyAlignment="1">
      <alignment horizontal="justify" wrapText="1"/>
    </xf>
    <xf numFmtId="0" fontId="7" fillId="0" borderId="31" xfId="0" applyFont="1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2" xfId="0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9" fillId="0" borderId="27" xfId="0" applyFont="1" applyFill="1" applyBorder="1" applyAlignment="1">
      <alignment wrapText="1"/>
    </xf>
    <xf numFmtId="0" fontId="14" fillId="0" borderId="41" xfId="0" applyFont="1" applyFill="1" applyBorder="1" applyAlignment="1">
      <alignment horizontal="justify" vertical="top" wrapText="1"/>
    </xf>
    <xf numFmtId="0" fontId="28" fillId="0" borderId="42" xfId="0" applyFont="1" applyFill="1" applyBorder="1" applyAlignment="1">
      <alignment horizontal="justify" vertical="top" wrapText="1"/>
    </xf>
    <xf numFmtId="0" fontId="2" fillId="0" borderId="23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8" xfId="0" applyFont="1" applyFill="1" applyBorder="1" applyAlignment="1" applyProtection="1">
      <alignment vertical="center" wrapText="1"/>
      <protection locked="0"/>
    </xf>
    <xf numFmtId="0" fontId="19" fillId="0" borderId="26" xfId="0" applyFont="1" applyFill="1" applyBorder="1" applyAlignment="1">
      <alignment wrapText="1"/>
    </xf>
    <xf numFmtId="0" fontId="14" fillId="0" borderId="34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14" fillId="0" borderId="33" xfId="0" applyFont="1" applyFill="1" applyBorder="1" applyAlignment="1">
      <alignment wrapText="1"/>
    </xf>
    <xf numFmtId="0" fontId="22" fillId="0" borderId="7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49" fontId="22" fillId="0" borderId="17" xfId="0" applyNumberFormat="1" applyFont="1" applyFill="1" applyBorder="1" applyAlignment="1"/>
    <xf numFmtId="0" fontId="9" fillId="0" borderId="2" xfId="0" applyFont="1" applyFill="1" applyBorder="1" applyAlignment="1"/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9" fillId="0" borderId="11" xfId="0" applyFont="1" applyFill="1" applyBorder="1" applyAlignment="1">
      <alignment horizontal="justify" vertical="top" wrapText="1"/>
    </xf>
    <xf numFmtId="0" fontId="19" fillId="0" borderId="21" xfId="0" applyFont="1" applyFill="1" applyBorder="1" applyAlignment="1">
      <alignment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justify" wrapText="1"/>
    </xf>
    <xf numFmtId="0" fontId="22" fillId="0" borderId="16" xfId="0" applyFont="1" applyFill="1" applyBorder="1" applyAlignment="1"/>
    <xf numFmtId="0" fontId="22" fillId="0" borderId="17" xfId="0" applyFont="1" applyFill="1" applyBorder="1" applyAlignment="1"/>
    <xf numFmtId="0" fontId="3" fillId="0" borderId="17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wrapText="1"/>
    </xf>
    <xf numFmtId="0" fontId="22" fillId="0" borderId="2" xfId="0" applyFont="1" applyFill="1" applyBorder="1" applyAlignment="1">
      <alignment vertical="top" wrapText="1"/>
    </xf>
    <xf numFmtId="0" fontId="17" fillId="0" borderId="10" xfId="0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10" fillId="0" borderId="3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10" fillId="0" borderId="10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19" fillId="0" borderId="2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0" fillId="0" borderId="13" xfId="0" applyFill="1" applyBorder="1" applyAlignment="1"/>
    <xf numFmtId="0" fontId="7" fillId="0" borderId="3" xfId="0" applyFont="1" applyFill="1" applyBorder="1" applyAlignment="1">
      <alignment wrapText="1"/>
    </xf>
    <xf numFmtId="49" fontId="3" fillId="0" borderId="16" xfId="0" applyNumberFormat="1" applyFont="1" applyFill="1" applyBorder="1" applyAlignment="1"/>
    <xf numFmtId="49" fontId="3" fillId="0" borderId="1" xfId="0" applyNumberFormat="1" applyFont="1" applyFill="1" applyBorder="1" applyAlignment="1"/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7" fillId="0" borderId="41" xfId="0" applyFont="1" applyFill="1" applyBorder="1" applyAlignment="1">
      <alignment horizontal="justify" vertical="top" wrapText="1"/>
    </xf>
    <xf numFmtId="0" fontId="9" fillId="0" borderId="42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justify" vertical="top" wrapText="1"/>
    </xf>
    <xf numFmtId="49" fontId="9" fillId="0" borderId="2" xfId="0" applyNumberFormat="1" applyFont="1" applyFill="1" applyBorder="1" applyAlignment="1"/>
    <xf numFmtId="49" fontId="9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7" fillId="0" borderId="35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2" fillId="0" borderId="10" xfId="0" applyFont="1" applyFill="1" applyBorder="1" applyAlignment="1">
      <alignment horizontal="justify" wrapText="1"/>
    </xf>
    <xf numFmtId="0" fontId="9" fillId="0" borderId="10" xfId="0" applyFont="1" applyFill="1" applyBorder="1" applyAlignment="1"/>
    <xf numFmtId="0" fontId="0" fillId="0" borderId="24" xfId="0" applyFill="1" applyBorder="1" applyAlignment="1">
      <alignment horizontal="justify" wrapText="1"/>
    </xf>
    <xf numFmtId="0" fontId="0" fillId="0" borderId="4" xfId="0" applyFill="1" applyBorder="1" applyAlignment="1">
      <alignment horizontal="justify" wrapText="1"/>
    </xf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2" fillId="0" borderId="2" xfId="0" applyFont="1" applyFill="1" applyBorder="1" applyAlignment="1">
      <alignment vertical="top" wrapText="1"/>
    </xf>
    <xf numFmtId="0" fontId="9" fillId="0" borderId="25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2" fillId="0" borderId="21" xfId="0" applyFont="1" applyFill="1" applyBorder="1" applyAlignment="1">
      <alignment wrapText="1"/>
    </xf>
    <xf numFmtId="0" fontId="2" fillId="0" borderId="27" xfId="0" applyFont="1" applyFill="1" applyBorder="1" applyAlignment="1">
      <alignment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4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9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0" fontId="10" fillId="0" borderId="33" xfId="0" applyFont="1" applyFill="1" applyBorder="1" applyAlignment="1">
      <alignment horizontal="justify" wrapText="1"/>
    </xf>
    <xf numFmtId="0" fontId="0" fillId="0" borderId="32" xfId="0" applyFill="1" applyBorder="1" applyAlignment="1">
      <alignment horizontal="justify" wrapText="1"/>
    </xf>
    <xf numFmtId="0" fontId="0" fillId="0" borderId="25" xfId="0" applyFill="1" applyBorder="1" applyAlignment="1">
      <alignment horizontal="justify"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0" fontId="10" fillId="0" borderId="36" xfId="0" applyFont="1" applyFill="1" applyBorder="1" applyAlignment="1">
      <alignment horizontal="justify" wrapText="1"/>
    </xf>
    <xf numFmtId="0" fontId="0" fillId="0" borderId="37" xfId="0" applyFill="1" applyBorder="1" applyAlignment="1">
      <alignment horizontal="justify" wrapText="1"/>
    </xf>
    <xf numFmtId="0" fontId="0" fillId="0" borderId="38" xfId="0" applyFill="1" applyBorder="1" applyAlignment="1">
      <alignment horizontal="justify" wrapText="1"/>
    </xf>
    <xf numFmtId="0" fontId="2" fillId="0" borderId="26" xfId="0" applyFont="1" applyFill="1" applyBorder="1" applyAlignment="1">
      <alignment horizontal="justify" wrapText="1"/>
    </xf>
    <xf numFmtId="0" fontId="9" fillId="0" borderId="21" xfId="0" applyFont="1" applyFill="1" applyBorder="1" applyAlignment="1">
      <alignment horizontal="justify" wrapText="1"/>
    </xf>
    <xf numFmtId="49" fontId="3" fillId="0" borderId="3" xfId="0" applyNumberFormat="1" applyFont="1" applyFill="1" applyBorder="1" applyAlignment="1"/>
    <xf numFmtId="0" fontId="7" fillId="0" borderId="33" xfId="0" applyFont="1" applyFill="1" applyBorder="1" applyAlignment="1">
      <alignment horizontal="justify" vertical="top" wrapText="1"/>
    </xf>
    <xf numFmtId="0" fontId="22" fillId="0" borderId="7" xfId="0" applyFont="1" applyFill="1" applyBorder="1" applyAlignment="1">
      <alignment horizontal="justify" vertical="top" wrapText="1"/>
    </xf>
    <xf numFmtId="0" fontId="22" fillId="0" borderId="8" xfId="0" applyFont="1" applyFill="1" applyBorder="1" applyAlignment="1">
      <alignment horizontal="justify" vertical="top" wrapText="1"/>
    </xf>
    <xf numFmtId="0" fontId="14" fillId="0" borderId="10" xfId="0" applyFont="1" applyFill="1" applyBorder="1" applyAlignment="1">
      <alignment horizontal="justify" wrapText="1"/>
    </xf>
    <xf numFmtId="0" fontId="10" fillId="0" borderId="16" xfId="0" applyFont="1" applyFill="1" applyBorder="1" applyAlignment="1">
      <alignment horizontal="justify" wrapText="1"/>
    </xf>
    <xf numFmtId="0" fontId="0" fillId="0" borderId="17" xfId="0" applyFill="1" applyBorder="1" applyAlignment="1"/>
    <xf numFmtId="0" fontId="25" fillId="0" borderId="10" xfId="0" applyFont="1" applyFill="1" applyBorder="1" applyAlignment="1">
      <alignment horizontal="left" vertical="top" wrapText="1"/>
    </xf>
    <xf numFmtId="0" fontId="25" fillId="0" borderId="24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44"/>
  <sheetViews>
    <sheetView tabSelected="1" view="pageBreakPreview" topLeftCell="A202" zoomScaleNormal="100" zoomScaleSheetLayoutView="100" workbookViewId="0">
      <selection activeCell="D210" sqref="D210:D212"/>
    </sheetView>
  </sheetViews>
  <sheetFormatPr defaultRowHeight="12.75" x14ac:dyDescent="0.2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8.5703125" style="4" customWidth="1"/>
    <col min="6" max="6" width="11.7109375" style="4" customWidth="1"/>
    <col min="7" max="7" width="11.140625" style="4" customWidth="1"/>
    <col min="8" max="8" width="11.57031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0.140625" style="4" bestFit="1" customWidth="1"/>
    <col min="13" max="16384" width="9.140625" style="4"/>
  </cols>
  <sheetData>
    <row r="1" spans="1:26" ht="19.5" customHeight="1" x14ac:dyDescent="0.2">
      <c r="H1" s="217" t="s">
        <v>281</v>
      </c>
      <c r="I1" s="217"/>
      <c r="J1" s="217"/>
      <c r="K1" s="217"/>
    </row>
    <row r="2" spans="1:26" ht="24" customHeight="1" x14ac:dyDescent="0.2">
      <c r="H2" s="218" t="s">
        <v>282</v>
      </c>
      <c r="I2" s="219"/>
      <c r="J2" s="219"/>
      <c r="K2" s="219"/>
    </row>
    <row r="3" spans="1:26" ht="15.75" customHeight="1" x14ac:dyDescent="0.2">
      <c r="C3" s="133"/>
      <c r="F3" s="133"/>
      <c r="G3" s="133"/>
      <c r="H3" s="133"/>
    </row>
    <row r="4" spans="1:26" ht="15.75" x14ac:dyDescent="0.25">
      <c r="C4" s="31"/>
    </row>
    <row r="5" spans="1:26" ht="12.75" customHeight="1" x14ac:dyDescent="0.25">
      <c r="A5" s="224" t="s">
        <v>143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</row>
    <row r="6" spans="1:26" ht="12.75" customHeight="1" x14ac:dyDescent="0.25">
      <c r="A6" s="224" t="s">
        <v>144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</row>
    <row r="7" spans="1:26" ht="12.75" customHeight="1" x14ac:dyDescent="0.25">
      <c r="A7" s="224" t="s">
        <v>145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</row>
    <row r="10" spans="1:26" ht="18" customHeight="1" x14ac:dyDescent="0.25">
      <c r="A10" s="220" t="s">
        <v>2</v>
      </c>
      <c r="B10" s="220" t="s">
        <v>3</v>
      </c>
      <c r="C10" s="220" t="s">
        <v>4</v>
      </c>
      <c r="D10" s="220" t="s">
        <v>5</v>
      </c>
      <c r="E10" s="220" t="s">
        <v>6</v>
      </c>
      <c r="F10" s="220" t="s">
        <v>7</v>
      </c>
      <c r="G10" s="220"/>
      <c r="H10" s="220"/>
      <c r="I10" s="220"/>
      <c r="J10" s="220"/>
      <c r="K10" s="220" t="s">
        <v>8</v>
      </c>
    </row>
    <row r="11" spans="1:26" ht="45" x14ac:dyDescent="0.25">
      <c r="A11" s="220"/>
      <c r="B11" s="220"/>
      <c r="C11" s="220"/>
      <c r="D11" s="220"/>
      <c r="E11" s="220"/>
      <c r="F11" s="134" t="s">
        <v>9</v>
      </c>
      <c r="G11" s="134" t="s">
        <v>10</v>
      </c>
      <c r="H11" s="134" t="s">
        <v>11</v>
      </c>
      <c r="I11" s="134" t="s">
        <v>12</v>
      </c>
      <c r="J11" s="134" t="s">
        <v>13</v>
      </c>
      <c r="K11" s="220"/>
    </row>
    <row r="12" spans="1:26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 x14ac:dyDescent="0.35">
      <c r="A13" s="222" t="s">
        <v>14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</row>
    <row r="14" spans="1:26" ht="15.75" x14ac:dyDescent="0.25">
      <c r="A14" s="221" t="s">
        <v>15</v>
      </c>
      <c r="B14" s="221"/>
      <c r="C14" s="221"/>
      <c r="D14" s="221"/>
      <c r="E14" s="221"/>
      <c r="F14" s="221"/>
      <c r="G14" s="221"/>
      <c r="H14" s="221"/>
      <c r="I14" s="221"/>
      <c r="J14" s="221"/>
      <c r="K14" s="221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2.25" customHeight="1" thickBot="1" x14ac:dyDescent="0.25">
      <c r="A15" s="185" t="s">
        <v>271</v>
      </c>
      <c r="B15" s="166"/>
      <c r="C15" s="192"/>
      <c r="D15" s="192"/>
      <c r="E15" s="192"/>
      <c r="F15" s="192"/>
      <c r="G15" s="192"/>
      <c r="H15" s="192"/>
      <c r="I15" s="192"/>
      <c r="J15" s="192"/>
      <c r="K15" s="192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ht="15" x14ac:dyDescent="0.25">
      <c r="A16" s="198" t="s">
        <v>16</v>
      </c>
      <c r="B16" s="202" t="s">
        <v>17</v>
      </c>
      <c r="C16" s="204">
        <v>2015</v>
      </c>
      <c r="D16" s="207" t="s">
        <v>147</v>
      </c>
      <c r="E16" s="131">
        <v>2015</v>
      </c>
      <c r="F16" s="9">
        <f>SUM(G16:J16)</f>
        <v>123364</v>
      </c>
      <c r="G16" s="9"/>
      <c r="H16" s="9">
        <f>84472.3+21385+13129.2</f>
        <v>118986.5</v>
      </c>
      <c r="I16" s="9">
        <f>4727.6-3108.6+2758.5</f>
        <v>4377.5</v>
      </c>
      <c r="J16" s="9"/>
      <c r="K16" s="162" t="s">
        <v>141</v>
      </c>
    </row>
    <row r="17" spans="1:26" ht="15" x14ac:dyDescent="0.25">
      <c r="A17" s="198"/>
      <c r="B17" s="203"/>
      <c r="C17" s="205"/>
      <c r="D17" s="208"/>
      <c r="E17" s="131">
        <v>2016</v>
      </c>
      <c r="F17" s="9"/>
      <c r="G17" s="9"/>
      <c r="H17" s="9"/>
      <c r="I17" s="9"/>
      <c r="J17" s="9"/>
      <c r="K17" s="176"/>
    </row>
    <row r="18" spans="1:26" ht="20.25" customHeight="1" x14ac:dyDescent="0.25">
      <c r="A18" s="198"/>
      <c r="B18" s="203"/>
      <c r="C18" s="205"/>
      <c r="D18" s="208"/>
      <c r="E18" s="131">
        <v>2017</v>
      </c>
      <c r="F18" s="9"/>
      <c r="G18" s="9"/>
      <c r="H18" s="9"/>
      <c r="I18" s="9"/>
      <c r="J18" s="9"/>
      <c r="K18" s="176"/>
    </row>
    <row r="19" spans="1:26" ht="18.75" customHeight="1" x14ac:dyDescent="0.25">
      <c r="A19" s="198"/>
      <c r="B19" s="203"/>
      <c r="C19" s="205"/>
      <c r="D19" s="208"/>
      <c r="E19" s="131">
        <v>2018</v>
      </c>
      <c r="F19" s="9"/>
      <c r="G19" s="9"/>
      <c r="H19" s="9"/>
      <c r="I19" s="9"/>
      <c r="J19" s="9"/>
      <c r="K19" s="176"/>
    </row>
    <row r="20" spans="1:26" ht="15" customHeight="1" x14ac:dyDescent="0.25">
      <c r="A20" s="198"/>
      <c r="B20" s="203"/>
      <c r="C20" s="205"/>
      <c r="D20" s="208"/>
      <c r="E20" s="131">
        <v>2019</v>
      </c>
      <c r="F20" s="9"/>
      <c r="G20" s="9"/>
      <c r="H20" s="9"/>
      <c r="I20" s="9"/>
      <c r="J20" s="9"/>
      <c r="K20" s="176"/>
    </row>
    <row r="21" spans="1:26" ht="17.25" customHeight="1" x14ac:dyDescent="0.25">
      <c r="A21" s="198"/>
      <c r="B21" s="203"/>
      <c r="C21" s="205"/>
      <c r="D21" s="208"/>
      <c r="E21" s="131">
        <v>2020</v>
      </c>
      <c r="F21" s="9"/>
      <c r="G21" s="9"/>
      <c r="H21" s="9"/>
      <c r="I21" s="9"/>
      <c r="J21" s="9"/>
      <c r="K21" s="176"/>
    </row>
    <row r="22" spans="1:26" ht="12.75" customHeight="1" x14ac:dyDescent="0.2">
      <c r="A22" s="198"/>
      <c r="B22" s="225"/>
      <c r="C22" s="205"/>
      <c r="D22" s="209"/>
      <c r="E22" s="26" t="s">
        <v>18</v>
      </c>
      <c r="F22" s="10">
        <f>SUM(F16:F21)</f>
        <v>123364</v>
      </c>
      <c r="G22" s="10">
        <f>SUM(G16:G21)</f>
        <v>0</v>
      </c>
      <c r="H22" s="10">
        <f>SUM(H16:H21)</f>
        <v>118986.5</v>
      </c>
      <c r="I22" s="10">
        <f>SUM(I16:I21)</f>
        <v>4377.5</v>
      </c>
      <c r="J22" s="10"/>
      <c r="K22" s="170"/>
    </row>
    <row r="23" spans="1:26" ht="15" x14ac:dyDescent="0.25">
      <c r="A23" s="198" t="s">
        <v>19</v>
      </c>
      <c r="B23" s="202" t="s">
        <v>159</v>
      </c>
      <c r="C23" s="153">
        <v>2015</v>
      </c>
      <c r="D23" s="207" t="s">
        <v>147</v>
      </c>
      <c r="E23" s="131">
        <v>2015</v>
      </c>
      <c r="F23" s="9">
        <f>SUM(G23:I23)</f>
        <v>5858.9</v>
      </c>
      <c r="G23" s="9"/>
      <c r="H23" s="9">
        <f>104685.7-104685.7</f>
        <v>0</v>
      </c>
      <c r="I23" s="9">
        <v>5858.9</v>
      </c>
      <c r="J23" s="9"/>
      <c r="K23" s="162" t="s">
        <v>142</v>
      </c>
    </row>
    <row r="24" spans="1:26" ht="15" x14ac:dyDescent="0.25">
      <c r="A24" s="198"/>
      <c r="B24" s="203"/>
      <c r="C24" s="154"/>
      <c r="D24" s="208"/>
      <c r="E24" s="131">
        <v>2016</v>
      </c>
      <c r="F24" s="9"/>
      <c r="G24" s="9"/>
      <c r="H24" s="9"/>
      <c r="I24" s="9"/>
      <c r="J24" s="9"/>
      <c r="K24" s="176"/>
    </row>
    <row r="25" spans="1:26" ht="15" x14ac:dyDescent="0.25">
      <c r="A25" s="198"/>
      <c r="B25" s="203"/>
      <c r="C25" s="154"/>
      <c r="D25" s="208"/>
      <c r="E25" s="131">
        <v>2017</v>
      </c>
      <c r="F25" s="9"/>
      <c r="G25" s="9"/>
      <c r="H25" s="9"/>
      <c r="I25" s="9"/>
      <c r="J25" s="9"/>
      <c r="K25" s="176"/>
    </row>
    <row r="26" spans="1:26" ht="15" x14ac:dyDescent="0.25">
      <c r="A26" s="198"/>
      <c r="B26" s="203"/>
      <c r="C26" s="154"/>
      <c r="D26" s="208"/>
      <c r="E26" s="131">
        <v>2018</v>
      </c>
      <c r="F26" s="9"/>
      <c r="G26" s="9"/>
      <c r="H26" s="9"/>
      <c r="I26" s="9"/>
      <c r="J26" s="9"/>
      <c r="K26" s="176"/>
    </row>
    <row r="27" spans="1:26" ht="15" x14ac:dyDescent="0.25">
      <c r="A27" s="198"/>
      <c r="B27" s="203"/>
      <c r="C27" s="154"/>
      <c r="D27" s="208"/>
      <c r="E27" s="131">
        <v>2019</v>
      </c>
      <c r="F27" s="9"/>
      <c r="G27" s="9"/>
      <c r="H27" s="9"/>
      <c r="I27" s="9"/>
      <c r="J27" s="9"/>
      <c r="K27" s="176"/>
    </row>
    <row r="28" spans="1:26" ht="15" x14ac:dyDescent="0.25">
      <c r="A28" s="198"/>
      <c r="B28" s="203"/>
      <c r="C28" s="154"/>
      <c r="D28" s="208"/>
      <c r="E28" s="131">
        <v>2020</v>
      </c>
      <c r="F28" s="9"/>
      <c r="G28" s="9"/>
      <c r="H28" s="9"/>
      <c r="I28" s="9"/>
      <c r="J28" s="9"/>
      <c r="K28" s="176"/>
    </row>
    <row r="29" spans="1:26" ht="15" x14ac:dyDescent="0.25">
      <c r="A29" s="211"/>
      <c r="B29" s="225"/>
      <c r="C29" s="161"/>
      <c r="D29" s="209"/>
      <c r="E29" s="35" t="s">
        <v>18</v>
      </c>
      <c r="F29" s="11">
        <f>SUM(F23:F28)</f>
        <v>5858.9</v>
      </c>
      <c r="G29" s="12">
        <f>SUM(G23:G28)</f>
        <v>0</v>
      </c>
      <c r="H29" s="12">
        <f>SUM(H23:H28)</f>
        <v>0</v>
      </c>
      <c r="I29" s="12">
        <f>SUM(I23:I28)</f>
        <v>5858.9</v>
      </c>
      <c r="J29" s="12"/>
      <c r="K29" s="170"/>
    </row>
    <row r="30" spans="1:26" ht="14.25" x14ac:dyDescent="0.2">
      <c r="A30" s="146" t="s">
        <v>20</v>
      </c>
      <c r="B30" s="148"/>
      <c r="C30" s="148"/>
      <c r="D30" s="148"/>
      <c r="E30" s="128"/>
      <c r="F30" s="13">
        <f>F22+F29</f>
        <v>129222.9</v>
      </c>
      <c r="G30" s="13">
        <f>G22+G29</f>
        <v>0</v>
      </c>
      <c r="H30" s="13">
        <f>H22+H29</f>
        <v>118986.5</v>
      </c>
      <c r="I30" s="13">
        <f>I22+I29</f>
        <v>10236.4</v>
      </c>
      <c r="J30" s="13">
        <f>J22+J29</f>
        <v>0</v>
      </c>
      <c r="K30" s="128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</row>
    <row r="31" spans="1:26" ht="14.25" x14ac:dyDescent="0.2">
      <c r="A31" s="185" t="s">
        <v>272</v>
      </c>
      <c r="B31" s="192"/>
      <c r="C31" s="192"/>
      <c r="D31" s="192"/>
      <c r="E31" s="192"/>
      <c r="F31" s="192"/>
      <c r="G31" s="192"/>
      <c r="H31" s="192"/>
      <c r="I31" s="192"/>
      <c r="J31" s="192"/>
      <c r="K31" s="192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spans="1:26" x14ac:dyDescent="0.2">
      <c r="A32" s="180" t="s">
        <v>21</v>
      </c>
      <c r="B32" s="200" t="s">
        <v>148</v>
      </c>
      <c r="C32" s="196" t="s">
        <v>158</v>
      </c>
      <c r="D32" s="162" t="s">
        <v>257</v>
      </c>
      <c r="E32" s="7">
        <v>2015</v>
      </c>
      <c r="F32" s="1"/>
      <c r="G32" s="1"/>
      <c r="H32" s="1"/>
      <c r="I32" s="1"/>
      <c r="J32" s="1"/>
      <c r="K32" s="229" t="s">
        <v>140</v>
      </c>
    </row>
    <row r="33" spans="1:26" x14ac:dyDescent="0.2">
      <c r="A33" s="181"/>
      <c r="B33" s="227"/>
      <c r="C33" s="163"/>
      <c r="D33" s="176"/>
      <c r="E33" s="131">
        <v>2016</v>
      </c>
      <c r="F33" s="2"/>
      <c r="G33" s="2"/>
      <c r="H33" s="2"/>
      <c r="I33" s="2"/>
      <c r="J33" s="2"/>
      <c r="K33" s="229"/>
    </row>
    <row r="34" spans="1:26" x14ac:dyDescent="0.2">
      <c r="A34" s="181"/>
      <c r="B34" s="227"/>
      <c r="C34" s="163"/>
      <c r="D34" s="176"/>
      <c r="E34" s="131">
        <v>2017</v>
      </c>
      <c r="F34" s="2"/>
      <c r="G34" s="2"/>
      <c r="H34" s="2"/>
      <c r="I34" s="2"/>
      <c r="J34" s="2"/>
      <c r="K34" s="229"/>
    </row>
    <row r="35" spans="1:26" x14ac:dyDescent="0.2">
      <c r="A35" s="181"/>
      <c r="B35" s="227"/>
      <c r="C35" s="163"/>
      <c r="D35" s="176"/>
      <c r="E35" s="131">
        <v>2018</v>
      </c>
      <c r="F35" s="2"/>
      <c r="G35" s="2"/>
      <c r="H35" s="2"/>
      <c r="I35" s="2"/>
      <c r="J35" s="2"/>
      <c r="K35" s="229"/>
    </row>
    <row r="36" spans="1:26" x14ac:dyDescent="0.2">
      <c r="A36" s="181"/>
      <c r="B36" s="227"/>
      <c r="C36" s="163"/>
      <c r="D36" s="176"/>
      <c r="E36" s="131">
        <v>2019</v>
      </c>
      <c r="F36" s="2"/>
      <c r="G36" s="2"/>
      <c r="H36" s="2"/>
      <c r="I36" s="2"/>
      <c r="J36" s="2"/>
      <c r="K36" s="229"/>
    </row>
    <row r="37" spans="1:26" x14ac:dyDescent="0.2">
      <c r="A37" s="181"/>
      <c r="B37" s="227"/>
      <c r="C37" s="163"/>
      <c r="D37" s="176"/>
      <c r="E37" s="131">
        <v>2020</v>
      </c>
      <c r="F37" s="2"/>
      <c r="G37" s="2"/>
      <c r="H37" s="2"/>
      <c r="I37" s="2"/>
      <c r="J37" s="2"/>
      <c r="K37" s="229"/>
    </row>
    <row r="38" spans="1:26" ht="68.25" customHeight="1" x14ac:dyDescent="0.2">
      <c r="A38" s="181"/>
      <c r="B38" s="228"/>
      <c r="C38" s="164"/>
      <c r="D38" s="170"/>
      <c r="E38" s="26" t="s">
        <v>18</v>
      </c>
      <c r="F38" s="2"/>
      <c r="G38" s="2"/>
      <c r="H38" s="2"/>
      <c r="I38" s="2"/>
      <c r="J38" s="2"/>
      <c r="K38" s="229"/>
    </row>
    <row r="39" spans="1:26" ht="12.75" customHeight="1" x14ac:dyDescent="0.2">
      <c r="A39" s="233" t="s">
        <v>22</v>
      </c>
      <c r="B39" s="202" t="s">
        <v>149</v>
      </c>
      <c r="C39" s="153" t="s">
        <v>158</v>
      </c>
      <c r="D39" s="175" t="s">
        <v>257</v>
      </c>
      <c r="E39" s="131">
        <v>2015</v>
      </c>
      <c r="F39" s="16">
        <f>H39+I39</f>
        <v>505</v>
      </c>
      <c r="G39" s="16"/>
      <c r="H39" s="16">
        <v>500</v>
      </c>
      <c r="I39" s="16">
        <v>5</v>
      </c>
      <c r="J39" s="16"/>
      <c r="K39" s="229"/>
    </row>
    <row r="40" spans="1:26" x14ac:dyDescent="0.2">
      <c r="A40" s="233"/>
      <c r="B40" s="203"/>
      <c r="C40" s="154"/>
      <c r="D40" s="175"/>
      <c r="E40" s="131">
        <v>2016</v>
      </c>
      <c r="F40" s="16">
        <f>SUM(G40:J40)</f>
        <v>0</v>
      </c>
      <c r="G40" s="16"/>
      <c r="H40" s="16">
        <v>0</v>
      </c>
      <c r="I40" s="16">
        <v>0</v>
      </c>
      <c r="J40" s="16"/>
      <c r="K40" s="229"/>
    </row>
    <row r="41" spans="1:26" x14ac:dyDescent="0.2">
      <c r="A41" s="233"/>
      <c r="B41" s="203"/>
      <c r="C41" s="154"/>
      <c r="D41" s="175"/>
      <c r="E41" s="131">
        <v>2017</v>
      </c>
      <c r="F41" s="16">
        <f>SUM(G41:J41)</f>
        <v>0</v>
      </c>
      <c r="G41" s="16"/>
      <c r="H41" s="16"/>
      <c r="I41" s="16"/>
      <c r="J41" s="16"/>
      <c r="K41" s="229"/>
    </row>
    <row r="42" spans="1:26" ht="16.5" customHeight="1" x14ac:dyDescent="0.2">
      <c r="A42" s="233"/>
      <c r="B42" s="203"/>
      <c r="C42" s="154"/>
      <c r="D42" s="175"/>
      <c r="E42" s="131">
        <v>2018</v>
      </c>
      <c r="F42" s="16">
        <f>SUM(G42:J42)</f>
        <v>21227.4</v>
      </c>
      <c r="G42" s="16"/>
      <c r="H42" s="16">
        <v>20165.400000000001</v>
      </c>
      <c r="I42" s="16">
        <v>1062</v>
      </c>
      <c r="J42" s="16"/>
      <c r="K42" s="229"/>
    </row>
    <row r="43" spans="1:26" x14ac:dyDescent="0.2">
      <c r="A43" s="233"/>
      <c r="B43" s="203"/>
      <c r="C43" s="154"/>
      <c r="D43" s="175"/>
      <c r="E43" s="131">
        <v>2019</v>
      </c>
      <c r="F43" s="16">
        <f>SUM(G43:J43)</f>
        <v>0</v>
      </c>
      <c r="G43" s="16"/>
      <c r="H43" s="16"/>
      <c r="I43" s="16"/>
      <c r="J43" s="16"/>
      <c r="K43" s="229"/>
    </row>
    <row r="44" spans="1:26" ht="15" customHeight="1" x14ac:dyDescent="0.2">
      <c r="A44" s="233"/>
      <c r="B44" s="203"/>
      <c r="C44" s="154"/>
      <c r="D44" s="175"/>
      <c r="E44" s="131">
        <v>2020</v>
      </c>
      <c r="F44" s="16">
        <f>SUM(G44:J44)</f>
        <v>12632</v>
      </c>
      <c r="G44" s="16"/>
      <c r="H44" s="16">
        <v>12000</v>
      </c>
      <c r="I44" s="16">
        <v>632</v>
      </c>
      <c r="J44" s="16"/>
      <c r="K44" s="229"/>
    </row>
    <row r="45" spans="1:26" ht="57" customHeight="1" x14ac:dyDescent="0.2">
      <c r="A45" s="233"/>
      <c r="B45" s="203"/>
      <c r="C45" s="154"/>
      <c r="D45" s="175"/>
      <c r="E45" s="35" t="s">
        <v>18</v>
      </c>
      <c r="F45" s="54">
        <f>SUM(F39:F44)</f>
        <v>34364.400000000001</v>
      </c>
      <c r="G45" s="54">
        <f>SUM(G39:G44)</f>
        <v>0</v>
      </c>
      <c r="H45" s="54">
        <f>SUM(H39:H44)</f>
        <v>32665.4</v>
      </c>
      <c r="I45" s="54">
        <f>SUM(I39:I44)</f>
        <v>1699</v>
      </c>
      <c r="J45" s="30"/>
      <c r="K45" s="229"/>
    </row>
    <row r="46" spans="1:26" x14ac:dyDescent="0.2">
      <c r="A46" s="230" t="s">
        <v>23</v>
      </c>
      <c r="B46" s="231"/>
      <c r="C46" s="231"/>
      <c r="D46" s="232"/>
      <c r="E46" s="35"/>
      <c r="F46" s="54">
        <f>F38+F45</f>
        <v>34364.400000000001</v>
      </c>
      <c r="G46" s="54">
        <f>G38+G45</f>
        <v>0</v>
      </c>
      <c r="H46" s="54">
        <f>SUM(H39:H44)</f>
        <v>32665.4</v>
      </c>
      <c r="I46" s="54">
        <f>SUM(I39:I44)</f>
        <v>1699</v>
      </c>
      <c r="J46" s="30"/>
      <c r="K46" s="229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4.25" x14ac:dyDescent="0.2">
      <c r="A47" s="144" t="s">
        <v>24</v>
      </c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7"/>
    </row>
    <row r="48" spans="1:26" ht="13.5" customHeight="1" x14ac:dyDescent="0.2">
      <c r="A48" s="180" t="s">
        <v>25</v>
      </c>
      <c r="B48" s="201" t="s">
        <v>26</v>
      </c>
      <c r="C48" s="197" t="s">
        <v>158</v>
      </c>
      <c r="D48" s="162" t="s">
        <v>257</v>
      </c>
      <c r="E48" s="7">
        <v>2015</v>
      </c>
      <c r="F48" s="14">
        <f>SUM(G48:I48)</f>
        <v>4863.4000000000005</v>
      </c>
      <c r="G48" s="14"/>
      <c r="H48" s="14">
        <v>4814.8</v>
      </c>
      <c r="I48" s="14">
        <v>48.6</v>
      </c>
      <c r="J48" s="14"/>
      <c r="K48" s="162" t="s">
        <v>172</v>
      </c>
    </row>
    <row r="49" spans="1:11" x14ac:dyDescent="0.2">
      <c r="A49" s="181"/>
      <c r="B49" s="203"/>
      <c r="C49" s="154"/>
      <c r="D49" s="176"/>
      <c r="E49" s="131">
        <v>2016</v>
      </c>
      <c r="F49" s="16"/>
      <c r="G49" s="16"/>
      <c r="H49" s="16"/>
      <c r="I49" s="16"/>
      <c r="J49" s="16"/>
      <c r="K49" s="176"/>
    </row>
    <row r="50" spans="1:11" x14ac:dyDescent="0.2">
      <c r="A50" s="181"/>
      <c r="B50" s="203"/>
      <c r="C50" s="154"/>
      <c r="D50" s="176"/>
      <c r="E50" s="131">
        <v>2017</v>
      </c>
      <c r="F50" s="16"/>
      <c r="G50" s="16"/>
      <c r="H50" s="16"/>
      <c r="I50" s="16"/>
      <c r="J50" s="16"/>
      <c r="K50" s="176"/>
    </row>
    <row r="51" spans="1:11" x14ac:dyDescent="0.2">
      <c r="A51" s="181"/>
      <c r="B51" s="203"/>
      <c r="C51" s="154"/>
      <c r="D51" s="176"/>
      <c r="E51" s="131">
        <v>2018</v>
      </c>
      <c r="F51" s="16"/>
      <c r="G51" s="16"/>
      <c r="H51" s="16"/>
      <c r="I51" s="16"/>
      <c r="J51" s="16"/>
      <c r="K51" s="176"/>
    </row>
    <row r="52" spans="1:11" x14ac:dyDescent="0.2">
      <c r="A52" s="181"/>
      <c r="B52" s="203"/>
      <c r="C52" s="154"/>
      <c r="D52" s="176"/>
      <c r="E52" s="131">
        <v>2019</v>
      </c>
      <c r="F52" s="16"/>
      <c r="G52" s="16"/>
      <c r="H52" s="16"/>
      <c r="I52" s="16"/>
      <c r="J52" s="16"/>
      <c r="K52" s="176"/>
    </row>
    <row r="53" spans="1:11" x14ac:dyDescent="0.2">
      <c r="A53" s="181"/>
      <c r="B53" s="203"/>
      <c r="C53" s="154"/>
      <c r="D53" s="176"/>
      <c r="E53" s="131">
        <v>2020</v>
      </c>
      <c r="F53" s="16"/>
      <c r="G53" s="16"/>
      <c r="H53" s="16"/>
      <c r="I53" s="16"/>
      <c r="J53" s="16"/>
      <c r="K53" s="176"/>
    </row>
    <row r="54" spans="1:11" ht="36.75" customHeight="1" x14ac:dyDescent="0.2">
      <c r="A54" s="181"/>
      <c r="B54" s="225"/>
      <c r="C54" s="161"/>
      <c r="D54" s="170"/>
      <c r="E54" s="26" t="s">
        <v>18</v>
      </c>
      <c r="F54" s="15">
        <f>SUM(F48:F53)</f>
        <v>4863.4000000000005</v>
      </c>
      <c r="G54" s="15"/>
      <c r="H54" s="15">
        <f>SUM(H48:H53)</f>
        <v>4814.8</v>
      </c>
      <c r="I54" s="15">
        <f>SUM(I48:I53)</f>
        <v>48.6</v>
      </c>
      <c r="J54" s="16"/>
      <c r="K54" s="176"/>
    </row>
    <row r="55" spans="1:11" ht="12.75" customHeight="1" x14ac:dyDescent="0.2">
      <c r="A55" s="181" t="s">
        <v>27</v>
      </c>
      <c r="B55" s="202" t="s">
        <v>28</v>
      </c>
      <c r="C55" s="153">
        <v>2015</v>
      </c>
      <c r="D55" s="162" t="s">
        <v>257</v>
      </c>
      <c r="E55" s="131">
        <v>2015</v>
      </c>
      <c r="F55" s="16">
        <f>SUM(G55:I55)</f>
        <v>1538.4</v>
      </c>
      <c r="G55" s="16"/>
      <c r="H55" s="16"/>
      <c r="I55" s="16">
        <v>1538.4</v>
      </c>
      <c r="J55" s="16"/>
      <c r="K55" s="176"/>
    </row>
    <row r="56" spans="1:11" x14ac:dyDescent="0.2">
      <c r="A56" s="181"/>
      <c r="B56" s="203"/>
      <c r="C56" s="154"/>
      <c r="D56" s="176"/>
      <c r="E56" s="131">
        <v>2016</v>
      </c>
      <c r="F56" s="16"/>
      <c r="G56" s="16"/>
      <c r="H56" s="16"/>
      <c r="I56" s="16"/>
      <c r="J56" s="16"/>
      <c r="K56" s="176"/>
    </row>
    <row r="57" spans="1:11" x14ac:dyDescent="0.2">
      <c r="A57" s="181"/>
      <c r="B57" s="203"/>
      <c r="C57" s="154"/>
      <c r="D57" s="176"/>
      <c r="E57" s="131">
        <v>2017</v>
      </c>
      <c r="F57" s="16"/>
      <c r="G57" s="16"/>
      <c r="H57" s="16"/>
      <c r="I57" s="16"/>
      <c r="J57" s="16"/>
      <c r="K57" s="176"/>
    </row>
    <row r="58" spans="1:11" x14ac:dyDescent="0.2">
      <c r="A58" s="181"/>
      <c r="B58" s="203"/>
      <c r="C58" s="154"/>
      <c r="D58" s="176"/>
      <c r="E58" s="131">
        <v>2018</v>
      </c>
      <c r="F58" s="16"/>
      <c r="G58" s="16"/>
      <c r="H58" s="16"/>
      <c r="I58" s="16"/>
      <c r="J58" s="16"/>
      <c r="K58" s="176"/>
    </row>
    <row r="59" spans="1:11" x14ac:dyDescent="0.2">
      <c r="A59" s="181"/>
      <c r="B59" s="203"/>
      <c r="C59" s="154"/>
      <c r="D59" s="176"/>
      <c r="E59" s="131">
        <v>2019</v>
      </c>
      <c r="F59" s="16"/>
      <c r="G59" s="16"/>
      <c r="H59" s="16"/>
      <c r="I59" s="16"/>
      <c r="J59" s="16"/>
      <c r="K59" s="176"/>
    </row>
    <row r="60" spans="1:11" x14ac:dyDescent="0.2">
      <c r="A60" s="181"/>
      <c r="B60" s="203"/>
      <c r="C60" s="154"/>
      <c r="D60" s="176"/>
      <c r="E60" s="131">
        <v>2020</v>
      </c>
      <c r="F60" s="16"/>
      <c r="G60" s="16"/>
      <c r="H60" s="16"/>
      <c r="I60" s="16"/>
      <c r="J60" s="16"/>
      <c r="K60" s="176"/>
    </row>
    <row r="61" spans="1:11" ht="13.5" customHeight="1" x14ac:dyDescent="0.2">
      <c r="A61" s="181"/>
      <c r="B61" s="225"/>
      <c r="C61" s="161"/>
      <c r="D61" s="170"/>
      <c r="E61" s="26" t="s">
        <v>18</v>
      </c>
      <c r="F61" s="15">
        <f>SUM(F55:F60)</f>
        <v>1538.4</v>
      </c>
      <c r="G61" s="15"/>
      <c r="H61" s="15"/>
      <c r="I61" s="15">
        <f>SUM(I55:I60)</f>
        <v>1538.4</v>
      </c>
      <c r="J61" s="16"/>
      <c r="K61" s="170"/>
    </row>
    <row r="62" spans="1:11" x14ac:dyDescent="0.2">
      <c r="A62" s="181" t="s">
        <v>150</v>
      </c>
      <c r="B62" s="202" t="s">
        <v>29</v>
      </c>
      <c r="C62" s="183" t="s">
        <v>158</v>
      </c>
      <c r="D62" s="162" t="s">
        <v>257</v>
      </c>
      <c r="E62" s="131">
        <v>2015</v>
      </c>
      <c r="F62" s="16">
        <f t="shared" ref="F62:F67" si="0">SUM(G62:J62)</f>
        <v>21031.8</v>
      </c>
      <c r="G62" s="16"/>
      <c r="H62" s="16"/>
      <c r="I62" s="16">
        <f>22881.8-1000-850</f>
        <v>21031.8</v>
      </c>
      <c r="J62" s="16"/>
      <c r="K62" s="162" t="s">
        <v>174</v>
      </c>
    </row>
    <row r="63" spans="1:11" x14ac:dyDescent="0.2">
      <c r="A63" s="181"/>
      <c r="B63" s="203"/>
      <c r="C63" s="163"/>
      <c r="D63" s="176"/>
      <c r="E63" s="131">
        <v>2016</v>
      </c>
      <c r="F63" s="16">
        <f t="shared" si="0"/>
        <v>22416.9</v>
      </c>
      <c r="G63" s="16"/>
      <c r="H63" s="16"/>
      <c r="I63" s="16">
        <f>22597.2-180.3</f>
        <v>22416.9</v>
      </c>
      <c r="J63" s="16"/>
      <c r="K63" s="176"/>
    </row>
    <row r="64" spans="1:11" x14ac:dyDescent="0.2">
      <c r="A64" s="181"/>
      <c r="B64" s="203"/>
      <c r="C64" s="163"/>
      <c r="D64" s="176"/>
      <c r="E64" s="131">
        <v>2017</v>
      </c>
      <c r="F64" s="16">
        <f t="shared" si="0"/>
        <v>22881.8</v>
      </c>
      <c r="G64" s="16"/>
      <c r="H64" s="16"/>
      <c r="I64" s="16">
        <v>22881.8</v>
      </c>
      <c r="J64" s="16"/>
      <c r="K64" s="176"/>
    </row>
    <row r="65" spans="1:36" x14ac:dyDescent="0.2">
      <c r="A65" s="181"/>
      <c r="B65" s="203"/>
      <c r="C65" s="163"/>
      <c r="D65" s="176"/>
      <c r="E65" s="131">
        <v>2018</v>
      </c>
      <c r="F65" s="16">
        <f t="shared" si="0"/>
        <v>22701</v>
      </c>
      <c r="G65" s="16"/>
      <c r="H65" s="16"/>
      <c r="I65" s="16">
        <v>22701</v>
      </c>
      <c r="J65" s="16"/>
      <c r="K65" s="176"/>
    </row>
    <row r="66" spans="1:36" x14ac:dyDescent="0.2">
      <c r="A66" s="181"/>
      <c r="B66" s="203"/>
      <c r="C66" s="163"/>
      <c r="D66" s="176"/>
      <c r="E66" s="131">
        <v>2019</v>
      </c>
      <c r="F66" s="16">
        <f t="shared" si="0"/>
        <v>22360.5</v>
      </c>
      <c r="G66" s="16"/>
      <c r="H66" s="16"/>
      <c r="I66" s="16">
        <v>22360.5</v>
      </c>
      <c r="J66" s="16"/>
      <c r="K66" s="176"/>
    </row>
    <row r="67" spans="1:36" x14ac:dyDescent="0.2">
      <c r="A67" s="181"/>
      <c r="B67" s="203"/>
      <c r="C67" s="163"/>
      <c r="D67" s="176"/>
      <c r="E67" s="131">
        <v>2020</v>
      </c>
      <c r="F67" s="16">
        <f t="shared" si="0"/>
        <v>21387.8</v>
      </c>
      <c r="G67" s="16"/>
      <c r="H67" s="16"/>
      <c r="I67" s="16">
        <v>21387.8</v>
      </c>
      <c r="J67" s="16"/>
      <c r="K67" s="176"/>
    </row>
    <row r="68" spans="1:36" ht="27" customHeight="1" x14ac:dyDescent="0.2">
      <c r="A68" s="181"/>
      <c r="B68" s="203"/>
      <c r="C68" s="164"/>
      <c r="D68" s="170"/>
      <c r="E68" s="26" t="s">
        <v>18</v>
      </c>
      <c r="F68" s="15">
        <f>SUM(F62:F67)</f>
        <v>132779.79999999999</v>
      </c>
      <c r="G68" s="15"/>
      <c r="H68" s="15"/>
      <c r="I68" s="15">
        <f>SUM(I62:I67)</f>
        <v>132779.79999999999</v>
      </c>
      <c r="J68" s="15"/>
      <c r="K68" s="170"/>
    </row>
    <row r="69" spans="1:36" ht="14.25" x14ac:dyDescent="0.2">
      <c r="A69" s="234" t="s">
        <v>30</v>
      </c>
      <c r="B69" s="234"/>
      <c r="C69" s="234"/>
      <c r="D69" s="234"/>
      <c r="E69" s="136"/>
      <c r="F69" s="17">
        <f>F54+F61+F68</f>
        <v>139181.59999999998</v>
      </c>
      <c r="G69" s="17"/>
      <c r="H69" s="17">
        <f>H54</f>
        <v>4814.8</v>
      </c>
      <c r="I69" s="17">
        <f>I54+I61+I68</f>
        <v>134366.79999999999</v>
      </c>
      <c r="J69" s="39"/>
      <c r="K69" s="136"/>
    </row>
    <row r="70" spans="1:36" ht="15" thickBot="1" x14ac:dyDescent="0.25">
      <c r="A70" s="185" t="s">
        <v>31</v>
      </c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1"/>
    </row>
    <row r="71" spans="1:36" x14ac:dyDescent="0.2">
      <c r="A71" s="180" t="s">
        <v>32</v>
      </c>
      <c r="B71" s="235" t="s">
        <v>171</v>
      </c>
      <c r="C71" s="183" t="s">
        <v>158</v>
      </c>
      <c r="D71" s="162" t="s">
        <v>257</v>
      </c>
      <c r="E71" s="7">
        <v>2015</v>
      </c>
      <c r="F71" s="14">
        <f>SUM(G71:I71)</f>
        <v>2018.1000000000001</v>
      </c>
      <c r="G71" s="14"/>
      <c r="H71" s="14">
        <v>1997.9</v>
      </c>
      <c r="I71" s="14">
        <v>20.2</v>
      </c>
      <c r="J71" s="14"/>
      <c r="K71" s="162" t="s">
        <v>175</v>
      </c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</row>
    <row r="72" spans="1:36" x14ac:dyDescent="0.2">
      <c r="A72" s="181"/>
      <c r="B72" s="236"/>
      <c r="C72" s="163"/>
      <c r="D72" s="176"/>
      <c r="E72" s="131">
        <v>2016</v>
      </c>
      <c r="F72" s="16"/>
      <c r="G72" s="16"/>
      <c r="H72" s="16"/>
      <c r="I72" s="16"/>
      <c r="J72" s="16"/>
      <c r="K72" s="176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</row>
    <row r="73" spans="1:36" x14ac:dyDescent="0.2">
      <c r="A73" s="181"/>
      <c r="B73" s="236"/>
      <c r="C73" s="163"/>
      <c r="D73" s="176"/>
      <c r="E73" s="131">
        <v>2017</v>
      </c>
      <c r="F73" s="16">
        <f>SUM(G73:I73)</f>
        <v>23914.1</v>
      </c>
      <c r="G73" s="16"/>
      <c r="H73" s="16">
        <v>23675</v>
      </c>
      <c r="I73" s="16">
        <v>239.1</v>
      </c>
      <c r="J73" s="16"/>
      <c r="K73" s="176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</row>
    <row r="74" spans="1:36" x14ac:dyDescent="0.2">
      <c r="A74" s="181"/>
      <c r="B74" s="236"/>
      <c r="C74" s="163"/>
      <c r="D74" s="176"/>
      <c r="E74" s="131">
        <v>2018</v>
      </c>
      <c r="F74" s="16"/>
      <c r="G74" s="16"/>
      <c r="H74" s="16"/>
      <c r="I74" s="16"/>
      <c r="J74" s="16"/>
      <c r="K74" s="176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</row>
    <row r="75" spans="1:36" x14ac:dyDescent="0.2">
      <c r="A75" s="181"/>
      <c r="B75" s="236"/>
      <c r="C75" s="163"/>
      <c r="D75" s="176"/>
      <c r="E75" s="131">
        <v>2019</v>
      </c>
      <c r="F75" s="16"/>
      <c r="G75" s="16"/>
      <c r="H75" s="16"/>
      <c r="I75" s="16"/>
      <c r="J75" s="16"/>
      <c r="K75" s="176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</row>
    <row r="76" spans="1:36" x14ac:dyDescent="0.2">
      <c r="A76" s="181"/>
      <c r="B76" s="236"/>
      <c r="C76" s="163"/>
      <c r="D76" s="176"/>
      <c r="E76" s="131">
        <v>2020</v>
      </c>
      <c r="F76" s="16"/>
      <c r="G76" s="16"/>
      <c r="H76" s="16"/>
      <c r="I76" s="16"/>
      <c r="J76" s="16"/>
      <c r="K76" s="176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</row>
    <row r="77" spans="1:36" ht="30" customHeight="1" x14ac:dyDescent="0.2">
      <c r="A77" s="181"/>
      <c r="B77" s="237"/>
      <c r="C77" s="164"/>
      <c r="D77" s="170"/>
      <c r="E77" s="26" t="s">
        <v>18</v>
      </c>
      <c r="F77" s="15">
        <f>SUM(G77:I77)</f>
        <v>25932.2</v>
      </c>
      <c r="G77" s="15"/>
      <c r="H77" s="15">
        <f>SUM(H71:H75)</f>
        <v>25672.9</v>
      </c>
      <c r="I77" s="15">
        <f>SUM(I71:I75)</f>
        <v>259.3</v>
      </c>
      <c r="J77" s="16"/>
      <c r="K77" s="170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</row>
    <row r="78" spans="1:36" ht="15" customHeight="1" x14ac:dyDescent="0.2">
      <c r="A78" s="240" t="s">
        <v>160</v>
      </c>
      <c r="B78" s="212" t="s">
        <v>161</v>
      </c>
      <c r="C78" s="183" t="s">
        <v>256</v>
      </c>
      <c r="D78" s="162" t="s">
        <v>257</v>
      </c>
      <c r="E78" s="7">
        <v>2015</v>
      </c>
      <c r="F78" s="14"/>
      <c r="G78" s="14"/>
      <c r="H78" s="14"/>
      <c r="I78" s="14"/>
      <c r="J78" s="14"/>
      <c r="K78" s="162" t="s">
        <v>176</v>
      </c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</row>
    <row r="79" spans="1:36" ht="15" customHeight="1" x14ac:dyDescent="0.2">
      <c r="A79" s="241"/>
      <c r="B79" s="213"/>
      <c r="C79" s="196"/>
      <c r="D79" s="176"/>
      <c r="E79" s="131">
        <v>2016</v>
      </c>
      <c r="F79" s="14">
        <f>SUM(G79:J79)</f>
        <v>1500</v>
      </c>
      <c r="G79" s="16"/>
      <c r="H79" s="16"/>
      <c r="I79" s="16">
        <v>1500</v>
      </c>
      <c r="J79" s="16"/>
      <c r="K79" s="176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</row>
    <row r="80" spans="1:36" ht="12.75" customHeight="1" x14ac:dyDescent="0.2">
      <c r="A80" s="241"/>
      <c r="B80" s="213"/>
      <c r="C80" s="196"/>
      <c r="D80" s="176"/>
      <c r="E80" s="131">
        <v>2017</v>
      </c>
      <c r="F80" s="16"/>
      <c r="G80" s="16"/>
      <c r="H80" s="16"/>
      <c r="I80" s="16"/>
      <c r="J80" s="16"/>
      <c r="K80" s="176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</row>
    <row r="81" spans="1:36" ht="12" customHeight="1" x14ac:dyDescent="0.2">
      <c r="A81" s="241"/>
      <c r="B81" s="213"/>
      <c r="C81" s="196"/>
      <c r="D81" s="176"/>
      <c r="E81" s="131">
        <v>2018</v>
      </c>
      <c r="F81" s="16"/>
      <c r="G81" s="16"/>
      <c r="H81" s="16"/>
      <c r="I81" s="16"/>
      <c r="J81" s="16"/>
      <c r="K81" s="176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</row>
    <row r="82" spans="1:36" ht="14.25" customHeight="1" x14ac:dyDescent="0.2">
      <c r="A82" s="241"/>
      <c r="B82" s="213"/>
      <c r="C82" s="196"/>
      <c r="D82" s="176"/>
      <c r="E82" s="131">
        <v>2019</v>
      </c>
      <c r="F82" s="16"/>
      <c r="G82" s="16"/>
      <c r="H82" s="16"/>
      <c r="I82" s="16"/>
      <c r="J82" s="16"/>
      <c r="K82" s="176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</row>
    <row r="83" spans="1:36" ht="12" customHeight="1" x14ac:dyDescent="0.2">
      <c r="A83" s="241"/>
      <c r="B83" s="213"/>
      <c r="C83" s="196"/>
      <c r="D83" s="176"/>
      <c r="E83" s="131">
        <v>2020</v>
      </c>
      <c r="F83" s="16"/>
      <c r="G83" s="16"/>
      <c r="H83" s="16"/>
      <c r="I83" s="16"/>
      <c r="J83" s="16"/>
      <c r="K83" s="176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</row>
    <row r="84" spans="1:36" ht="15" customHeight="1" x14ac:dyDescent="0.2">
      <c r="A84" s="242"/>
      <c r="B84" s="168"/>
      <c r="C84" s="197"/>
      <c r="D84" s="170"/>
      <c r="E84" s="26" t="s">
        <v>18</v>
      </c>
      <c r="F84" s="15">
        <f>SUM(G84:I84)</f>
        <v>1500</v>
      </c>
      <c r="G84" s="15"/>
      <c r="H84" s="15">
        <f>SUM(H78:H82)</f>
        <v>0</v>
      </c>
      <c r="I84" s="15">
        <f>SUM(I78:I82)</f>
        <v>1500</v>
      </c>
      <c r="J84" s="16"/>
      <c r="K84" s="170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</row>
    <row r="85" spans="1:36" ht="14.25" x14ac:dyDescent="0.2">
      <c r="A85" s="238" t="s">
        <v>33</v>
      </c>
      <c r="B85" s="238"/>
      <c r="C85" s="238"/>
      <c r="D85" s="238"/>
      <c r="E85" s="27"/>
      <c r="F85" s="18">
        <f>SUM(G85:I85)</f>
        <v>27432.2</v>
      </c>
      <c r="G85" s="18"/>
      <c r="H85" s="18">
        <f>H77</f>
        <v>25672.9</v>
      </c>
      <c r="I85" s="18">
        <f>I77+I84</f>
        <v>1759.3</v>
      </c>
      <c r="J85" s="28"/>
      <c r="K85" s="27"/>
    </row>
    <row r="86" spans="1:36" ht="15" x14ac:dyDescent="0.25">
      <c r="A86" s="146" t="s">
        <v>34</v>
      </c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37"/>
      <c r="W86" s="37"/>
      <c r="X86" s="37"/>
      <c r="Y86" s="37"/>
      <c r="Z86" s="37"/>
      <c r="AA86" s="37"/>
      <c r="AB86" s="37"/>
      <c r="AC86" s="37"/>
    </row>
    <row r="87" spans="1:36" x14ac:dyDescent="0.2">
      <c r="A87" s="181" t="s">
        <v>35</v>
      </c>
      <c r="B87" s="199" t="s">
        <v>36</v>
      </c>
      <c r="C87" s="183" t="s">
        <v>158</v>
      </c>
      <c r="D87" s="162" t="s">
        <v>257</v>
      </c>
      <c r="E87" s="131">
        <v>2015</v>
      </c>
      <c r="F87" s="16">
        <f t="shared" ref="F87:F93" si="1">SUM(G87:I87)</f>
        <v>600</v>
      </c>
      <c r="G87" s="16"/>
      <c r="H87" s="16"/>
      <c r="I87" s="16">
        <v>600</v>
      </c>
      <c r="J87" s="16"/>
      <c r="K87" s="162" t="s">
        <v>173</v>
      </c>
    </row>
    <row r="88" spans="1:36" x14ac:dyDescent="0.2">
      <c r="A88" s="181"/>
      <c r="B88" s="194"/>
      <c r="C88" s="163"/>
      <c r="D88" s="176"/>
      <c r="E88" s="131">
        <v>2016</v>
      </c>
      <c r="F88" s="16">
        <f t="shared" si="1"/>
        <v>700</v>
      </c>
      <c r="G88" s="16"/>
      <c r="H88" s="16"/>
      <c r="I88" s="16">
        <v>700</v>
      </c>
      <c r="J88" s="16"/>
      <c r="K88" s="176"/>
    </row>
    <row r="89" spans="1:36" x14ac:dyDescent="0.2">
      <c r="A89" s="181"/>
      <c r="B89" s="194"/>
      <c r="C89" s="163"/>
      <c r="D89" s="176"/>
      <c r="E89" s="131">
        <v>2017</v>
      </c>
      <c r="F89" s="16">
        <f t="shared" si="1"/>
        <v>0</v>
      </c>
      <c r="G89" s="16"/>
      <c r="H89" s="16"/>
      <c r="I89" s="16">
        <v>0</v>
      </c>
      <c r="J89" s="16"/>
      <c r="K89" s="176"/>
    </row>
    <row r="90" spans="1:36" x14ac:dyDescent="0.2">
      <c r="A90" s="181"/>
      <c r="B90" s="194"/>
      <c r="C90" s="163"/>
      <c r="D90" s="176"/>
      <c r="E90" s="131">
        <v>2018</v>
      </c>
      <c r="F90" s="16">
        <f t="shared" si="1"/>
        <v>900</v>
      </c>
      <c r="G90" s="16"/>
      <c r="H90" s="16"/>
      <c r="I90" s="16">
        <v>900</v>
      </c>
      <c r="J90" s="16"/>
      <c r="K90" s="176"/>
    </row>
    <row r="91" spans="1:36" x14ac:dyDescent="0.2">
      <c r="A91" s="181"/>
      <c r="B91" s="194"/>
      <c r="C91" s="163"/>
      <c r="D91" s="176"/>
      <c r="E91" s="131">
        <v>2019</v>
      </c>
      <c r="F91" s="16">
        <f t="shared" si="1"/>
        <v>1000</v>
      </c>
      <c r="G91" s="16"/>
      <c r="H91" s="16"/>
      <c r="I91" s="16">
        <v>1000</v>
      </c>
      <c r="J91" s="16"/>
      <c r="K91" s="176"/>
    </row>
    <row r="92" spans="1:36" x14ac:dyDescent="0.2">
      <c r="A92" s="181"/>
      <c r="B92" s="194"/>
      <c r="C92" s="163"/>
      <c r="D92" s="176"/>
      <c r="E92" s="131">
        <v>2020</v>
      </c>
      <c r="F92" s="16">
        <f t="shared" si="1"/>
        <v>1000</v>
      </c>
      <c r="G92" s="16"/>
      <c r="H92" s="16"/>
      <c r="I92" s="16">
        <v>1000</v>
      </c>
      <c r="J92" s="16"/>
      <c r="K92" s="176"/>
    </row>
    <row r="93" spans="1:36" x14ac:dyDescent="0.2">
      <c r="A93" s="181"/>
      <c r="B93" s="195"/>
      <c r="C93" s="164"/>
      <c r="D93" s="170"/>
      <c r="E93" s="26" t="s">
        <v>18</v>
      </c>
      <c r="F93" s="15">
        <f t="shared" si="1"/>
        <v>4200</v>
      </c>
      <c r="G93" s="15"/>
      <c r="H93" s="15"/>
      <c r="I93" s="15">
        <f>SUM(I87:I92)</f>
        <v>4200</v>
      </c>
      <c r="J93" s="16"/>
      <c r="K93" s="170"/>
    </row>
    <row r="94" spans="1:36" ht="14.25" x14ac:dyDescent="0.2">
      <c r="A94" s="234" t="s">
        <v>37</v>
      </c>
      <c r="B94" s="258"/>
      <c r="C94" s="258"/>
      <c r="D94" s="234"/>
      <c r="E94" s="234"/>
      <c r="F94" s="234"/>
      <c r="G94" s="234"/>
      <c r="H94" s="234"/>
      <c r="I94" s="234"/>
      <c r="J94" s="234"/>
      <c r="K94" s="234"/>
    </row>
    <row r="95" spans="1:36" x14ac:dyDescent="0.2">
      <c r="A95" s="181" t="s">
        <v>38</v>
      </c>
      <c r="B95" s="202" t="s">
        <v>39</v>
      </c>
      <c r="C95" s="183" t="s">
        <v>158</v>
      </c>
      <c r="D95" s="162" t="s">
        <v>257</v>
      </c>
      <c r="E95" s="131">
        <v>2015</v>
      </c>
      <c r="F95" s="16">
        <f t="shared" ref="F95:F100" si="2">SUM(G95:I95)</f>
        <v>0</v>
      </c>
      <c r="G95" s="16"/>
      <c r="H95" s="16"/>
      <c r="I95" s="16">
        <v>0</v>
      </c>
      <c r="J95" s="16"/>
      <c r="K95" s="162" t="s">
        <v>173</v>
      </c>
    </row>
    <row r="96" spans="1:36" x14ac:dyDescent="0.2">
      <c r="A96" s="181"/>
      <c r="B96" s="203"/>
      <c r="C96" s="163"/>
      <c r="D96" s="176"/>
      <c r="E96" s="131">
        <v>2016</v>
      </c>
      <c r="F96" s="16">
        <f t="shared" si="2"/>
        <v>0</v>
      </c>
      <c r="G96" s="16"/>
      <c r="H96" s="16"/>
      <c r="I96" s="16">
        <v>0</v>
      </c>
      <c r="J96" s="16"/>
      <c r="K96" s="176"/>
    </row>
    <row r="97" spans="1:36" x14ac:dyDescent="0.2">
      <c r="A97" s="181"/>
      <c r="B97" s="203"/>
      <c r="C97" s="163"/>
      <c r="D97" s="176"/>
      <c r="E97" s="131">
        <v>2017</v>
      </c>
      <c r="F97" s="16">
        <f t="shared" si="2"/>
        <v>0</v>
      </c>
      <c r="G97" s="16"/>
      <c r="H97" s="16"/>
      <c r="I97" s="16">
        <v>0</v>
      </c>
      <c r="J97" s="16"/>
      <c r="K97" s="176"/>
    </row>
    <row r="98" spans="1:36" x14ac:dyDescent="0.2">
      <c r="A98" s="181"/>
      <c r="B98" s="203"/>
      <c r="C98" s="163"/>
      <c r="D98" s="176"/>
      <c r="E98" s="131">
        <v>2018</v>
      </c>
      <c r="F98" s="16">
        <f t="shared" si="2"/>
        <v>176.7</v>
      </c>
      <c r="G98" s="16"/>
      <c r="H98" s="16"/>
      <c r="I98" s="16">
        <v>176.7</v>
      </c>
      <c r="J98" s="16"/>
      <c r="K98" s="176"/>
    </row>
    <row r="99" spans="1:36" x14ac:dyDescent="0.2">
      <c r="A99" s="181"/>
      <c r="B99" s="203"/>
      <c r="C99" s="163"/>
      <c r="D99" s="176"/>
      <c r="E99" s="131">
        <v>2019</v>
      </c>
      <c r="F99" s="16">
        <f t="shared" si="2"/>
        <v>202</v>
      </c>
      <c r="G99" s="16"/>
      <c r="H99" s="16"/>
      <c r="I99" s="16">
        <v>202</v>
      </c>
      <c r="J99" s="16"/>
      <c r="K99" s="176"/>
    </row>
    <row r="100" spans="1:36" x14ac:dyDescent="0.2">
      <c r="A100" s="181"/>
      <c r="B100" s="203"/>
      <c r="C100" s="163"/>
      <c r="D100" s="176"/>
      <c r="E100" s="131">
        <v>2020</v>
      </c>
      <c r="F100" s="16">
        <f t="shared" si="2"/>
        <v>230.6</v>
      </c>
      <c r="G100" s="16"/>
      <c r="H100" s="16"/>
      <c r="I100" s="16">
        <v>230.6</v>
      </c>
      <c r="J100" s="16"/>
      <c r="K100" s="176"/>
    </row>
    <row r="101" spans="1:36" x14ac:dyDescent="0.2">
      <c r="A101" s="181"/>
      <c r="B101" s="203"/>
      <c r="C101" s="164"/>
      <c r="D101" s="170"/>
      <c r="E101" s="26" t="s">
        <v>18</v>
      </c>
      <c r="F101" s="15">
        <f>SUM(F95:F100)</f>
        <v>609.29999999999995</v>
      </c>
      <c r="G101" s="15"/>
      <c r="H101" s="15"/>
      <c r="I101" s="15">
        <f>SUM(I95:I100)</f>
        <v>609.29999999999995</v>
      </c>
      <c r="J101" s="16"/>
      <c r="K101" s="170"/>
    </row>
    <row r="102" spans="1:36" ht="20.25" customHeight="1" x14ac:dyDescent="0.25">
      <c r="A102" s="243" t="s">
        <v>243</v>
      </c>
      <c r="B102" s="244"/>
      <c r="C102" s="245"/>
      <c r="D102" s="246"/>
      <c r="E102" s="43"/>
      <c r="F102" s="18">
        <f>SUM(G102:I102)</f>
        <v>335010.40000000002</v>
      </c>
      <c r="G102" s="18"/>
      <c r="H102" s="18">
        <f>H101+H93+H85+H69+H46+H30</f>
        <v>182139.6</v>
      </c>
      <c r="I102" s="18">
        <f>I101+I93+I85+I69+I46+I30</f>
        <v>152870.79999999999</v>
      </c>
      <c r="J102" s="29"/>
      <c r="K102" s="43"/>
    </row>
    <row r="103" spans="1:36" ht="16.5" thickBot="1" x14ac:dyDescent="0.3">
      <c r="A103" s="247" t="s">
        <v>225</v>
      </c>
      <c r="B103" s="248"/>
      <c r="C103" s="248"/>
      <c r="D103" s="248"/>
      <c r="E103" s="248"/>
      <c r="F103" s="248"/>
      <c r="G103" s="248"/>
      <c r="H103" s="248"/>
      <c r="I103" s="248"/>
      <c r="J103" s="248"/>
      <c r="K103" s="249"/>
      <c r="L103" s="126"/>
      <c r="M103" s="126"/>
      <c r="N103" s="126"/>
      <c r="O103" s="126"/>
      <c r="P103" s="126"/>
      <c r="Q103" s="126"/>
      <c r="R103" s="126"/>
      <c r="S103" s="126"/>
      <c r="T103" s="126"/>
      <c r="U103" s="126"/>
      <c r="V103" s="126"/>
      <c r="W103" s="126"/>
      <c r="X103" s="126"/>
      <c r="Y103" s="126"/>
      <c r="Z103" s="126"/>
      <c r="AA103" s="126"/>
      <c r="AB103" s="126"/>
      <c r="AC103" s="126"/>
      <c r="AD103" s="126"/>
      <c r="AE103" s="126"/>
      <c r="AF103" s="126"/>
      <c r="AG103" s="126"/>
      <c r="AH103" s="126"/>
      <c r="AI103" s="126"/>
      <c r="AJ103" s="126"/>
    </row>
    <row r="104" spans="1:36" ht="44.25" customHeight="1" thickBot="1" x14ac:dyDescent="0.25">
      <c r="A104" s="250" t="s">
        <v>274</v>
      </c>
      <c r="B104" s="251"/>
      <c r="C104" s="251"/>
      <c r="D104" s="251"/>
      <c r="E104" s="251"/>
      <c r="F104" s="251"/>
      <c r="G104" s="251"/>
      <c r="H104" s="251"/>
      <c r="I104" s="251"/>
      <c r="J104" s="251"/>
      <c r="K104" s="252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</row>
    <row r="105" spans="1:36" x14ac:dyDescent="0.2">
      <c r="A105" s="181" t="s">
        <v>40</v>
      </c>
      <c r="B105" s="253" t="s">
        <v>41</v>
      </c>
      <c r="C105" s="204" t="s">
        <v>158</v>
      </c>
      <c r="D105" s="255" t="s">
        <v>257</v>
      </c>
      <c r="E105" s="131">
        <v>2015</v>
      </c>
      <c r="F105" s="131"/>
      <c r="G105" s="131"/>
      <c r="H105" s="131"/>
      <c r="I105" s="131"/>
      <c r="J105" s="131"/>
      <c r="K105" s="257" t="s">
        <v>42</v>
      </c>
    </row>
    <row r="106" spans="1:36" x14ac:dyDescent="0.2">
      <c r="A106" s="181"/>
      <c r="B106" s="254"/>
      <c r="C106" s="205"/>
      <c r="D106" s="256"/>
      <c r="E106" s="131">
        <v>2016</v>
      </c>
      <c r="F106" s="131"/>
      <c r="G106" s="131"/>
      <c r="H106" s="131"/>
      <c r="I106" s="131"/>
      <c r="J106" s="131"/>
      <c r="K106" s="176"/>
    </row>
    <row r="107" spans="1:36" x14ac:dyDescent="0.2">
      <c r="A107" s="181"/>
      <c r="B107" s="254"/>
      <c r="C107" s="205"/>
      <c r="D107" s="256"/>
      <c r="E107" s="131">
        <v>2017</v>
      </c>
      <c r="F107" s="131"/>
      <c r="G107" s="131"/>
      <c r="H107" s="131"/>
      <c r="I107" s="131"/>
      <c r="J107" s="131"/>
      <c r="K107" s="176"/>
    </row>
    <row r="108" spans="1:36" x14ac:dyDescent="0.2">
      <c r="A108" s="181"/>
      <c r="B108" s="254"/>
      <c r="C108" s="205"/>
      <c r="D108" s="256"/>
      <c r="E108" s="131">
        <v>2018</v>
      </c>
      <c r="F108" s="131"/>
      <c r="G108" s="131"/>
      <c r="H108" s="131"/>
      <c r="I108" s="131"/>
      <c r="J108" s="131"/>
      <c r="K108" s="176"/>
    </row>
    <row r="109" spans="1:36" x14ac:dyDescent="0.2">
      <c r="A109" s="181"/>
      <c r="B109" s="254"/>
      <c r="C109" s="205"/>
      <c r="D109" s="256"/>
      <c r="E109" s="131">
        <v>2019</v>
      </c>
      <c r="F109" s="131"/>
      <c r="G109" s="131"/>
      <c r="H109" s="131"/>
      <c r="I109" s="131"/>
      <c r="J109" s="131"/>
      <c r="K109" s="176"/>
    </row>
    <row r="110" spans="1:36" x14ac:dyDescent="0.2">
      <c r="A110" s="181"/>
      <c r="B110" s="254"/>
      <c r="C110" s="205"/>
      <c r="D110" s="256"/>
      <c r="E110" s="131">
        <v>2020</v>
      </c>
      <c r="F110" s="131"/>
      <c r="G110" s="131"/>
      <c r="H110" s="131"/>
      <c r="I110" s="131"/>
      <c r="J110" s="131"/>
      <c r="K110" s="176"/>
    </row>
    <row r="111" spans="1:36" ht="21.75" customHeight="1" x14ac:dyDescent="0.2">
      <c r="A111" s="182"/>
      <c r="B111" s="254"/>
      <c r="C111" s="205"/>
      <c r="D111" s="256"/>
      <c r="E111" s="35" t="s">
        <v>18</v>
      </c>
      <c r="F111" s="6"/>
      <c r="G111" s="6"/>
      <c r="H111" s="6"/>
      <c r="I111" s="6"/>
      <c r="J111" s="6"/>
      <c r="K111" s="170"/>
    </row>
    <row r="112" spans="1:36" ht="18" customHeight="1" x14ac:dyDescent="0.2">
      <c r="A112" s="259" t="s">
        <v>246</v>
      </c>
      <c r="B112" s="260"/>
      <c r="C112" s="260"/>
      <c r="D112" s="260"/>
      <c r="E112" s="261"/>
      <c r="F112" s="262" t="s">
        <v>43</v>
      </c>
      <c r="G112" s="263"/>
      <c r="H112" s="263"/>
      <c r="I112" s="263"/>
      <c r="J112" s="264"/>
      <c r="K112" s="113"/>
    </row>
    <row r="113" spans="1:36" x14ac:dyDescent="0.2">
      <c r="A113" s="165" t="s">
        <v>44</v>
      </c>
      <c r="B113" s="265"/>
      <c r="C113" s="265"/>
      <c r="D113" s="265"/>
      <c r="E113" s="265"/>
      <c r="F113" s="265"/>
      <c r="G113" s="265"/>
      <c r="H113" s="265"/>
      <c r="I113" s="265"/>
      <c r="J113" s="265"/>
      <c r="K113" s="265"/>
    </row>
    <row r="114" spans="1:36" ht="31.5" customHeight="1" x14ac:dyDescent="0.2">
      <c r="A114" s="185" t="s">
        <v>45</v>
      </c>
      <c r="B114" s="192"/>
      <c r="C114" s="192"/>
      <c r="D114" s="192"/>
      <c r="E114" s="192"/>
      <c r="F114" s="192"/>
      <c r="G114" s="192"/>
      <c r="H114" s="192"/>
      <c r="I114" s="192"/>
      <c r="J114" s="192"/>
      <c r="K114" s="192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</row>
    <row r="115" spans="1:36" x14ac:dyDescent="0.2">
      <c r="A115" s="180" t="s">
        <v>46</v>
      </c>
      <c r="B115" s="270" t="s">
        <v>47</v>
      </c>
      <c r="C115" s="271" t="s">
        <v>158</v>
      </c>
      <c r="D115" s="207" t="s">
        <v>257</v>
      </c>
      <c r="E115" s="7">
        <v>2015</v>
      </c>
      <c r="F115" s="7"/>
      <c r="G115" s="7"/>
      <c r="H115" s="7"/>
      <c r="I115" s="7"/>
      <c r="J115" s="7"/>
      <c r="K115" s="162" t="s">
        <v>48</v>
      </c>
    </row>
    <row r="116" spans="1:36" x14ac:dyDescent="0.2">
      <c r="A116" s="181"/>
      <c r="B116" s="192"/>
      <c r="C116" s="205"/>
      <c r="D116" s="208"/>
      <c r="E116" s="131">
        <v>2016</v>
      </c>
      <c r="F116" s="131"/>
      <c r="G116" s="131"/>
      <c r="H116" s="131"/>
      <c r="I116" s="131"/>
      <c r="J116" s="131"/>
      <c r="K116" s="176"/>
    </row>
    <row r="117" spans="1:36" x14ac:dyDescent="0.2">
      <c r="A117" s="181"/>
      <c r="B117" s="192"/>
      <c r="C117" s="205"/>
      <c r="D117" s="208"/>
      <c r="E117" s="131">
        <v>2017</v>
      </c>
      <c r="F117" s="131"/>
      <c r="G117" s="131"/>
      <c r="H117" s="131"/>
      <c r="I117" s="131"/>
      <c r="J117" s="131"/>
      <c r="K117" s="176"/>
    </row>
    <row r="118" spans="1:36" x14ac:dyDescent="0.2">
      <c r="A118" s="181"/>
      <c r="B118" s="192"/>
      <c r="C118" s="205"/>
      <c r="D118" s="208"/>
      <c r="E118" s="131">
        <v>2018</v>
      </c>
      <c r="F118" s="131"/>
      <c r="G118" s="131"/>
      <c r="H118" s="131"/>
      <c r="I118" s="131"/>
      <c r="J118" s="131"/>
      <c r="K118" s="176"/>
    </row>
    <row r="119" spans="1:36" x14ac:dyDescent="0.2">
      <c r="A119" s="181"/>
      <c r="B119" s="192"/>
      <c r="C119" s="205"/>
      <c r="D119" s="208"/>
      <c r="E119" s="131">
        <v>2019</v>
      </c>
      <c r="F119" s="131"/>
      <c r="G119" s="131"/>
      <c r="H119" s="131"/>
      <c r="I119" s="131"/>
      <c r="J119" s="131"/>
      <c r="K119" s="176"/>
    </row>
    <row r="120" spans="1:36" x14ac:dyDescent="0.2">
      <c r="A120" s="181"/>
      <c r="B120" s="192"/>
      <c r="C120" s="205"/>
      <c r="D120" s="208"/>
      <c r="E120" s="131">
        <v>2020</v>
      </c>
      <c r="F120" s="131"/>
      <c r="G120" s="131"/>
      <c r="H120" s="131"/>
      <c r="I120" s="131"/>
      <c r="J120" s="131"/>
      <c r="K120" s="176"/>
    </row>
    <row r="121" spans="1:36" ht="30" customHeight="1" thickBot="1" x14ac:dyDescent="0.25">
      <c r="A121" s="181"/>
      <c r="B121" s="192"/>
      <c r="C121" s="206"/>
      <c r="D121" s="209"/>
      <c r="E121" s="26" t="s">
        <v>18</v>
      </c>
      <c r="F121" s="131"/>
      <c r="G121" s="131"/>
      <c r="H121" s="131"/>
      <c r="I121" s="131"/>
      <c r="J121" s="131"/>
      <c r="K121" s="170"/>
    </row>
    <row r="122" spans="1:36" x14ac:dyDescent="0.2">
      <c r="A122" s="181" t="s">
        <v>49</v>
      </c>
      <c r="B122" s="266" t="s">
        <v>50</v>
      </c>
      <c r="C122" s="204" t="s">
        <v>158</v>
      </c>
      <c r="D122" s="207" t="s">
        <v>257</v>
      </c>
      <c r="E122" s="131">
        <v>2015</v>
      </c>
      <c r="F122" s="131"/>
      <c r="G122" s="131"/>
      <c r="H122" s="131"/>
      <c r="I122" s="131"/>
      <c r="J122" s="131"/>
      <c r="K122" s="162" t="s">
        <v>51</v>
      </c>
    </row>
    <row r="123" spans="1:36" x14ac:dyDescent="0.2">
      <c r="A123" s="181"/>
      <c r="B123" s="192"/>
      <c r="C123" s="205"/>
      <c r="D123" s="208"/>
      <c r="E123" s="131">
        <v>2016</v>
      </c>
      <c r="F123" s="131"/>
      <c r="G123" s="131"/>
      <c r="H123" s="131"/>
      <c r="I123" s="131"/>
      <c r="J123" s="131"/>
      <c r="K123" s="176"/>
    </row>
    <row r="124" spans="1:36" x14ac:dyDescent="0.2">
      <c r="A124" s="181"/>
      <c r="B124" s="192"/>
      <c r="C124" s="205"/>
      <c r="D124" s="208"/>
      <c r="E124" s="131">
        <v>2017</v>
      </c>
      <c r="F124" s="131"/>
      <c r="G124" s="131"/>
      <c r="H124" s="131"/>
      <c r="I124" s="131"/>
      <c r="J124" s="131"/>
      <c r="K124" s="176"/>
    </row>
    <row r="125" spans="1:36" x14ac:dyDescent="0.2">
      <c r="A125" s="181"/>
      <c r="B125" s="192"/>
      <c r="C125" s="205"/>
      <c r="D125" s="208"/>
      <c r="E125" s="131">
        <v>2018</v>
      </c>
      <c r="F125" s="131"/>
      <c r="G125" s="131"/>
      <c r="H125" s="131"/>
      <c r="I125" s="131"/>
      <c r="J125" s="131"/>
      <c r="K125" s="176"/>
    </row>
    <row r="126" spans="1:36" x14ac:dyDescent="0.2">
      <c r="A126" s="181"/>
      <c r="B126" s="192"/>
      <c r="C126" s="205"/>
      <c r="D126" s="208"/>
      <c r="E126" s="131">
        <v>2019</v>
      </c>
      <c r="F126" s="131"/>
      <c r="G126" s="131"/>
      <c r="H126" s="131"/>
      <c r="I126" s="131"/>
      <c r="J126" s="131"/>
      <c r="K126" s="176"/>
    </row>
    <row r="127" spans="1:36" x14ac:dyDescent="0.2">
      <c r="A127" s="181"/>
      <c r="B127" s="192"/>
      <c r="C127" s="205"/>
      <c r="D127" s="208"/>
      <c r="E127" s="131">
        <v>2020</v>
      </c>
      <c r="F127" s="131"/>
      <c r="G127" s="131"/>
      <c r="H127" s="131"/>
      <c r="I127" s="131"/>
      <c r="J127" s="131"/>
      <c r="K127" s="176"/>
    </row>
    <row r="128" spans="1:36" ht="58.5" customHeight="1" x14ac:dyDescent="0.2">
      <c r="A128" s="182"/>
      <c r="B128" s="166"/>
      <c r="C128" s="205"/>
      <c r="D128" s="209"/>
      <c r="E128" s="35" t="s">
        <v>18</v>
      </c>
      <c r="F128" s="6"/>
      <c r="G128" s="6"/>
      <c r="H128" s="6"/>
      <c r="I128" s="6"/>
      <c r="J128" s="6"/>
      <c r="K128" s="170"/>
    </row>
    <row r="129" spans="1:36" ht="32.25" customHeight="1" x14ac:dyDescent="0.2">
      <c r="A129" s="185" t="s">
        <v>52</v>
      </c>
      <c r="B129" s="192"/>
      <c r="C129" s="192"/>
      <c r="D129" s="192"/>
      <c r="E129" s="192"/>
      <c r="F129" s="192"/>
      <c r="G129" s="192"/>
      <c r="H129" s="192"/>
      <c r="I129" s="192"/>
      <c r="J129" s="192"/>
      <c r="K129" s="192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</row>
    <row r="130" spans="1:36" ht="15.75" thickBot="1" x14ac:dyDescent="0.3">
      <c r="A130" s="185" t="s">
        <v>167</v>
      </c>
      <c r="B130" s="272"/>
      <c r="C130" s="272"/>
      <c r="D130" s="272"/>
      <c r="E130" s="272"/>
      <c r="F130" s="272"/>
      <c r="G130" s="272"/>
      <c r="H130" s="272"/>
      <c r="I130" s="272"/>
      <c r="J130" s="272"/>
      <c r="K130" s="272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</row>
    <row r="131" spans="1:36" x14ac:dyDescent="0.2">
      <c r="A131" s="233" t="s">
        <v>54</v>
      </c>
      <c r="B131" s="202" t="s">
        <v>55</v>
      </c>
      <c r="C131" s="204" t="s">
        <v>158</v>
      </c>
      <c r="D131" s="207" t="s">
        <v>257</v>
      </c>
      <c r="E131" s="131">
        <v>2015</v>
      </c>
      <c r="F131" s="16">
        <f t="shared" ref="F131:F136" si="3">SUM(G131:J131)</f>
        <v>289323.7</v>
      </c>
      <c r="G131" s="16"/>
      <c r="H131" s="16">
        <f>313444.2-24120.5</f>
        <v>289323.7</v>
      </c>
      <c r="I131" s="16"/>
      <c r="J131" s="16"/>
      <c r="K131" s="162" t="s">
        <v>56</v>
      </c>
    </row>
    <row r="132" spans="1:36" x14ac:dyDescent="0.2">
      <c r="A132" s="233"/>
      <c r="B132" s="203"/>
      <c r="C132" s="205"/>
      <c r="D132" s="208"/>
      <c r="E132" s="131">
        <v>2016</v>
      </c>
      <c r="F132" s="16">
        <f t="shared" si="3"/>
        <v>321212.7</v>
      </c>
      <c r="G132" s="16"/>
      <c r="H132" s="16">
        <v>321212.7</v>
      </c>
      <c r="I132" s="16"/>
      <c r="J132" s="16"/>
      <c r="K132" s="176"/>
    </row>
    <row r="133" spans="1:36" x14ac:dyDescent="0.2">
      <c r="A133" s="233"/>
      <c r="B133" s="203"/>
      <c r="C133" s="205"/>
      <c r="D133" s="208"/>
      <c r="E133" s="131">
        <v>2017</v>
      </c>
      <c r="F133" s="16">
        <f t="shared" si="3"/>
        <v>407056.8</v>
      </c>
      <c r="G133" s="16"/>
      <c r="H133" s="16">
        <v>407056.8</v>
      </c>
      <c r="I133" s="16"/>
      <c r="J133" s="16"/>
      <c r="K133" s="176"/>
    </row>
    <row r="134" spans="1:36" x14ac:dyDescent="0.2">
      <c r="A134" s="233"/>
      <c r="B134" s="203"/>
      <c r="C134" s="205"/>
      <c r="D134" s="208"/>
      <c r="E134" s="131">
        <v>2018</v>
      </c>
      <c r="F134" s="16">
        <f t="shared" si="3"/>
        <v>291795.59999999998</v>
      </c>
      <c r="G134" s="16"/>
      <c r="H134" s="16">
        <v>291795.59999999998</v>
      </c>
      <c r="I134" s="16"/>
      <c r="J134" s="16"/>
      <c r="K134" s="176"/>
    </row>
    <row r="135" spans="1:36" x14ac:dyDescent="0.2">
      <c r="A135" s="233"/>
      <c r="B135" s="203"/>
      <c r="C135" s="205"/>
      <c r="D135" s="208"/>
      <c r="E135" s="131">
        <v>2019</v>
      </c>
      <c r="F135" s="16">
        <f t="shared" si="3"/>
        <v>306971.40000000002</v>
      </c>
      <c r="G135" s="16"/>
      <c r="H135" s="16">
        <v>306971.40000000002</v>
      </c>
      <c r="I135" s="16"/>
      <c r="J135" s="16"/>
      <c r="K135" s="176"/>
    </row>
    <row r="136" spans="1:36" x14ac:dyDescent="0.2">
      <c r="A136" s="233"/>
      <c r="B136" s="203"/>
      <c r="C136" s="205"/>
      <c r="D136" s="208"/>
      <c r="E136" s="131">
        <v>2020</v>
      </c>
      <c r="F136" s="16">
        <f t="shared" si="3"/>
        <v>324467.09999999998</v>
      </c>
      <c r="G136" s="16"/>
      <c r="H136" s="16">
        <v>324467.09999999998</v>
      </c>
      <c r="I136" s="16"/>
      <c r="J136" s="16"/>
      <c r="K136" s="176"/>
    </row>
    <row r="137" spans="1:36" ht="26.25" customHeight="1" x14ac:dyDescent="0.2">
      <c r="A137" s="233"/>
      <c r="B137" s="203"/>
      <c r="C137" s="205"/>
      <c r="D137" s="209"/>
      <c r="E137" s="26" t="s">
        <v>18</v>
      </c>
      <c r="F137" s="15">
        <f>SUM(F131:F136)</f>
        <v>1940827.2999999998</v>
      </c>
      <c r="G137" s="15"/>
      <c r="H137" s="15">
        <f>SUM(H131:H136)</f>
        <v>1940827.2999999998</v>
      </c>
      <c r="I137" s="15"/>
      <c r="J137" s="15"/>
      <c r="K137" s="176"/>
    </row>
    <row r="138" spans="1:36" x14ac:dyDescent="0.2">
      <c r="A138" s="233" t="s">
        <v>57</v>
      </c>
      <c r="B138" s="202" t="s">
        <v>58</v>
      </c>
      <c r="C138" s="153" t="s">
        <v>158</v>
      </c>
      <c r="D138" s="267" t="s">
        <v>257</v>
      </c>
      <c r="E138" s="131">
        <v>2015</v>
      </c>
      <c r="F138" s="16">
        <f t="shared" ref="F138:F143" si="4">SUM(G138:J138)</f>
        <v>51438.500000000007</v>
      </c>
      <c r="G138" s="16"/>
      <c r="H138" s="16"/>
      <c r="I138" s="16">
        <f>54650+6257.8-2384.6-2000-2408.2-401.3-516.2-1759</f>
        <v>51438.500000000007</v>
      </c>
      <c r="J138" s="16"/>
      <c r="K138" s="176"/>
    </row>
    <row r="139" spans="1:36" x14ac:dyDescent="0.2">
      <c r="A139" s="233"/>
      <c r="B139" s="203"/>
      <c r="C139" s="154"/>
      <c r="D139" s="268"/>
      <c r="E139" s="131">
        <v>2016</v>
      </c>
      <c r="F139" s="16">
        <f t="shared" si="4"/>
        <v>51982.5</v>
      </c>
      <c r="G139" s="16"/>
      <c r="H139" s="16"/>
      <c r="I139" s="16">
        <f>57382.5-5400</f>
        <v>51982.5</v>
      </c>
      <c r="J139" s="16"/>
      <c r="K139" s="176"/>
    </row>
    <row r="140" spans="1:36" x14ac:dyDescent="0.2">
      <c r="A140" s="233"/>
      <c r="B140" s="203"/>
      <c r="C140" s="154"/>
      <c r="D140" s="268"/>
      <c r="E140" s="131">
        <v>2017</v>
      </c>
      <c r="F140" s="16">
        <f t="shared" si="4"/>
        <v>57382.5</v>
      </c>
      <c r="G140" s="16"/>
      <c r="H140" s="16"/>
      <c r="I140" s="16">
        <v>57382.5</v>
      </c>
      <c r="J140" s="16"/>
      <c r="K140" s="176"/>
    </row>
    <row r="141" spans="1:36" x14ac:dyDescent="0.2">
      <c r="A141" s="233"/>
      <c r="B141" s="203"/>
      <c r="C141" s="154"/>
      <c r="D141" s="268"/>
      <c r="E141" s="131">
        <v>2018</v>
      </c>
      <c r="F141" s="16">
        <f t="shared" si="4"/>
        <v>61079.4</v>
      </c>
      <c r="G141" s="16"/>
      <c r="H141" s="16"/>
      <c r="I141" s="16">
        <v>61079.4</v>
      </c>
      <c r="J141" s="16"/>
      <c r="K141" s="176"/>
    </row>
    <row r="142" spans="1:36" x14ac:dyDescent="0.2">
      <c r="A142" s="233"/>
      <c r="B142" s="203"/>
      <c r="C142" s="154"/>
      <c r="D142" s="268"/>
      <c r="E142" s="131">
        <v>2019</v>
      </c>
      <c r="F142" s="16">
        <f t="shared" si="4"/>
        <v>64255.5</v>
      </c>
      <c r="G142" s="16"/>
      <c r="H142" s="16"/>
      <c r="I142" s="16">
        <v>64255.5</v>
      </c>
      <c r="J142" s="16"/>
      <c r="K142" s="176"/>
    </row>
    <row r="143" spans="1:36" x14ac:dyDescent="0.2">
      <c r="A143" s="233"/>
      <c r="B143" s="203"/>
      <c r="C143" s="154"/>
      <c r="D143" s="268"/>
      <c r="E143" s="131">
        <v>2020</v>
      </c>
      <c r="F143" s="16">
        <f t="shared" si="4"/>
        <v>67918.100000000006</v>
      </c>
      <c r="G143" s="16"/>
      <c r="H143" s="16"/>
      <c r="I143" s="16">
        <v>67918.100000000006</v>
      </c>
      <c r="J143" s="16"/>
      <c r="K143" s="176"/>
    </row>
    <row r="144" spans="1:36" ht="47.25" customHeight="1" x14ac:dyDescent="0.2">
      <c r="A144" s="233"/>
      <c r="B144" s="203"/>
      <c r="C144" s="154"/>
      <c r="D144" s="269"/>
      <c r="E144" s="26" t="s">
        <v>18</v>
      </c>
      <c r="F144" s="15">
        <f>SUM(F138:F143)</f>
        <v>354056.5</v>
      </c>
      <c r="G144" s="15"/>
      <c r="H144" s="15"/>
      <c r="I144" s="15">
        <f>SUM(I138:I143)</f>
        <v>354056.5</v>
      </c>
      <c r="J144" s="15"/>
      <c r="K144" s="170"/>
    </row>
    <row r="145" spans="1:11" x14ac:dyDescent="0.2">
      <c r="A145" s="181" t="s">
        <v>59</v>
      </c>
      <c r="B145" s="202" t="s">
        <v>60</v>
      </c>
      <c r="C145" s="284" t="s">
        <v>158</v>
      </c>
      <c r="D145" s="207" t="s">
        <v>257</v>
      </c>
      <c r="E145" s="131">
        <v>2015</v>
      </c>
      <c r="F145" s="2"/>
      <c r="G145" s="2"/>
      <c r="H145" s="2"/>
      <c r="I145" s="2"/>
      <c r="J145" s="2"/>
      <c r="K145" s="162" t="s">
        <v>61</v>
      </c>
    </row>
    <row r="146" spans="1:11" x14ac:dyDescent="0.2">
      <c r="A146" s="181"/>
      <c r="B146" s="203"/>
      <c r="C146" s="205"/>
      <c r="D146" s="208"/>
      <c r="E146" s="131">
        <v>2016</v>
      </c>
      <c r="F146" s="2"/>
      <c r="G146" s="2"/>
      <c r="H146" s="2"/>
      <c r="I146" s="2"/>
      <c r="J146" s="2"/>
      <c r="K146" s="176"/>
    </row>
    <row r="147" spans="1:11" x14ac:dyDescent="0.2">
      <c r="A147" s="181"/>
      <c r="B147" s="203"/>
      <c r="C147" s="205"/>
      <c r="D147" s="208"/>
      <c r="E147" s="131">
        <v>2017</v>
      </c>
      <c r="F147" s="2"/>
      <c r="G147" s="2"/>
      <c r="H147" s="2"/>
      <c r="I147" s="2"/>
      <c r="J147" s="2"/>
      <c r="K147" s="176"/>
    </row>
    <row r="148" spans="1:11" x14ac:dyDescent="0.2">
      <c r="A148" s="181"/>
      <c r="B148" s="203"/>
      <c r="C148" s="205"/>
      <c r="D148" s="208"/>
      <c r="E148" s="131">
        <v>2018</v>
      </c>
      <c r="F148" s="2"/>
      <c r="G148" s="2"/>
      <c r="H148" s="2"/>
      <c r="I148" s="2"/>
      <c r="J148" s="2"/>
      <c r="K148" s="176"/>
    </row>
    <row r="149" spans="1:11" x14ac:dyDescent="0.2">
      <c r="A149" s="181"/>
      <c r="B149" s="203"/>
      <c r="C149" s="205"/>
      <c r="D149" s="208"/>
      <c r="E149" s="131">
        <v>2019</v>
      </c>
      <c r="F149" s="2"/>
      <c r="G149" s="2"/>
      <c r="H149" s="2"/>
      <c r="I149" s="2"/>
      <c r="J149" s="2"/>
      <c r="K149" s="176"/>
    </row>
    <row r="150" spans="1:11" x14ac:dyDescent="0.2">
      <c r="A150" s="181"/>
      <c r="B150" s="203"/>
      <c r="C150" s="205"/>
      <c r="D150" s="208"/>
      <c r="E150" s="131">
        <v>2020</v>
      </c>
      <c r="F150" s="2"/>
      <c r="G150" s="2"/>
      <c r="H150" s="2"/>
      <c r="I150" s="2"/>
      <c r="J150" s="2"/>
      <c r="K150" s="176"/>
    </row>
    <row r="151" spans="1:11" ht="92.25" customHeight="1" x14ac:dyDescent="0.2">
      <c r="A151" s="181"/>
      <c r="B151" s="203"/>
      <c r="C151" s="285"/>
      <c r="D151" s="209"/>
      <c r="E151" s="26" t="s">
        <v>18</v>
      </c>
      <c r="F151" s="2"/>
      <c r="G151" s="2"/>
      <c r="H151" s="2"/>
      <c r="I151" s="2"/>
      <c r="J151" s="2"/>
      <c r="K151" s="170"/>
    </row>
    <row r="152" spans="1:11" x14ac:dyDescent="0.2">
      <c r="A152" s="180" t="s">
        <v>62</v>
      </c>
      <c r="B152" s="282" t="s">
        <v>275</v>
      </c>
      <c r="C152" s="271" t="s">
        <v>158</v>
      </c>
      <c r="D152" s="208" t="s">
        <v>257</v>
      </c>
      <c r="E152" s="7">
        <v>2015</v>
      </c>
      <c r="F152" s="1"/>
      <c r="G152" s="1"/>
      <c r="H152" s="1"/>
      <c r="I152" s="1"/>
      <c r="J152" s="1"/>
      <c r="K152" s="176" t="s">
        <v>63</v>
      </c>
    </row>
    <row r="153" spans="1:11" x14ac:dyDescent="0.2">
      <c r="A153" s="181"/>
      <c r="B153" s="282"/>
      <c r="C153" s="205"/>
      <c r="D153" s="208"/>
      <c r="E153" s="131">
        <v>2016</v>
      </c>
      <c r="F153" s="2"/>
      <c r="G153" s="2"/>
      <c r="H153" s="2"/>
      <c r="I153" s="2"/>
      <c r="J153" s="2"/>
      <c r="K153" s="176"/>
    </row>
    <row r="154" spans="1:11" x14ac:dyDescent="0.2">
      <c r="A154" s="181"/>
      <c r="B154" s="282"/>
      <c r="C154" s="205"/>
      <c r="D154" s="208"/>
      <c r="E154" s="131">
        <v>2017</v>
      </c>
      <c r="F154" s="2"/>
      <c r="G154" s="2"/>
      <c r="H154" s="2"/>
      <c r="I154" s="2"/>
      <c r="J154" s="2"/>
      <c r="K154" s="176"/>
    </row>
    <row r="155" spans="1:11" x14ac:dyDescent="0.2">
      <c r="A155" s="181"/>
      <c r="B155" s="282"/>
      <c r="C155" s="205"/>
      <c r="D155" s="208"/>
      <c r="E155" s="131">
        <v>2018</v>
      </c>
      <c r="F155" s="2"/>
      <c r="G155" s="2"/>
      <c r="H155" s="2"/>
      <c r="I155" s="2"/>
      <c r="J155" s="2"/>
      <c r="K155" s="176"/>
    </row>
    <row r="156" spans="1:11" x14ac:dyDescent="0.2">
      <c r="A156" s="181"/>
      <c r="B156" s="282"/>
      <c r="C156" s="205"/>
      <c r="D156" s="208"/>
      <c r="E156" s="131">
        <v>2019</v>
      </c>
      <c r="F156" s="2"/>
      <c r="G156" s="2"/>
      <c r="H156" s="2"/>
      <c r="I156" s="2"/>
      <c r="J156" s="2"/>
      <c r="K156" s="176"/>
    </row>
    <row r="157" spans="1:11" x14ac:dyDescent="0.2">
      <c r="A157" s="181"/>
      <c r="B157" s="282"/>
      <c r="C157" s="205"/>
      <c r="D157" s="208"/>
      <c r="E157" s="131">
        <v>2020</v>
      </c>
      <c r="F157" s="2"/>
      <c r="G157" s="2"/>
      <c r="H157" s="2"/>
      <c r="I157" s="2"/>
      <c r="J157" s="2"/>
      <c r="K157" s="176"/>
    </row>
    <row r="158" spans="1:11" ht="77.25" customHeight="1" thickBot="1" x14ac:dyDescent="0.25">
      <c r="A158" s="181"/>
      <c r="B158" s="283"/>
      <c r="C158" s="205"/>
      <c r="D158" s="209"/>
      <c r="E158" s="26" t="s">
        <v>18</v>
      </c>
      <c r="F158" s="2"/>
      <c r="G158" s="2"/>
      <c r="H158" s="2"/>
      <c r="I158" s="2"/>
      <c r="J158" s="2"/>
      <c r="K158" s="170"/>
    </row>
    <row r="159" spans="1:11" x14ac:dyDescent="0.2">
      <c r="A159" s="181" t="s">
        <v>64</v>
      </c>
      <c r="B159" s="199" t="s">
        <v>65</v>
      </c>
      <c r="C159" s="204" t="s">
        <v>158</v>
      </c>
      <c r="D159" s="207" t="s">
        <v>257</v>
      </c>
      <c r="E159" s="131">
        <v>2015</v>
      </c>
      <c r="F159" s="273" t="s">
        <v>66</v>
      </c>
      <c r="G159" s="274"/>
      <c r="H159" s="274"/>
      <c r="I159" s="274"/>
      <c r="J159" s="275"/>
      <c r="K159" s="162" t="s">
        <v>67</v>
      </c>
    </row>
    <row r="160" spans="1:11" x14ac:dyDescent="0.2">
      <c r="A160" s="181"/>
      <c r="B160" s="200"/>
      <c r="C160" s="205"/>
      <c r="D160" s="208"/>
      <c r="E160" s="131">
        <v>2016</v>
      </c>
      <c r="F160" s="276"/>
      <c r="G160" s="277"/>
      <c r="H160" s="277"/>
      <c r="I160" s="277"/>
      <c r="J160" s="278"/>
      <c r="K160" s="176"/>
    </row>
    <row r="161" spans="1:11" x14ac:dyDescent="0.2">
      <c r="A161" s="181"/>
      <c r="B161" s="200"/>
      <c r="C161" s="205"/>
      <c r="D161" s="208"/>
      <c r="E161" s="131">
        <v>2017</v>
      </c>
      <c r="F161" s="276"/>
      <c r="G161" s="277"/>
      <c r="H161" s="277"/>
      <c r="I161" s="277"/>
      <c r="J161" s="278"/>
      <c r="K161" s="176"/>
    </row>
    <row r="162" spans="1:11" x14ac:dyDescent="0.2">
      <c r="A162" s="181"/>
      <c r="B162" s="200"/>
      <c r="C162" s="205"/>
      <c r="D162" s="208"/>
      <c r="E162" s="131">
        <v>2018</v>
      </c>
      <c r="F162" s="276"/>
      <c r="G162" s="277"/>
      <c r="H162" s="277"/>
      <c r="I162" s="277"/>
      <c r="J162" s="278"/>
      <c r="K162" s="176"/>
    </row>
    <row r="163" spans="1:11" x14ac:dyDescent="0.2">
      <c r="A163" s="181"/>
      <c r="B163" s="200"/>
      <c r="C163" s="205"/>
      <c r="D163" s="208"/>
      <c r="E163" s="131">
        <v>2019</v>
      </c>
      <c r="F163" s="276"/>
      <c r="G163" s="277"/>
      <c r="H163" s="277"/>
      <c r="I163" s="277"/>
      <c r="J163" s="278"/>
      <c r="K163" s="176"/>
    </row>
    <row r="164" spans="1:11" x14ac:dyDescent="0.2">
      <c r="A164" s="181"/>
      <c r="B164" s="200"/>
      <c r="C164" s="205"/>
      <c r="D164" s="208"/>
      <c r="E164" s="131">
        <v>2020</v>
      </c>
      <c r="F164" s="276"/>
      <c r="G164" s="277"/>
      <c r="H164" s="277"/>
      <c r="I164" s="277"/>
      <c r="J164" s="278"/>
      <c r="K164" s="176"/>
    </row>
    <row r="165" spans="1:11" ht="15.75" customHeight="1" thickBot="1" x14ac:dyDescent="0.25">
      <c r="A165" s="181"/>
      <c r="B165" s="201"/>
      <c r="C165" s="205"/>
      <c r="D165" s="209"/>
      <c r="E165" s="26" t="s">
        <v>18</v>
      </c>
      <c r="F165" s="279"/>
      <c r="G165" s="280"/>
      <c r="H165" s="280"/>
      <c r="I165" s="280"/>
      <c r="J165" s="281"/>
      <c r="K165" s="176"/>
    </row>
    <row r="166" spans="1:11" x14ac:dyDescent="0.2">
      <c r="A166" s="181" t="s">
        <v>68</v>
      </c>
      <c r="B166" s="202" t="s">
        <v>69</v>
      </c>
      <c r="C166" s="204" t="s">
        <v>158</v>
      </c>
      <c r="D166" s="207" t="s">
        <v>257</v>
      </c>
      <c r="E166" s="131">
        <v>2015</v>
      </c>
      <c r="F166" s="286" t="s">
        <v>70</v>
      </c>
      <c r="G166" s="287"/>
      <c r="H166" s="287"/>
      <c r="I166" s="287"/>
      <c r="J166" s="288"/>
      <c r="K166" s="163"/>
    </row>
    <row r="167" spans="1:11" x14ac:dyDescent="0.2">
      <c r="A167" s="181"/>
      <c r="B167" s="202"/>
      <c r="C167" s="205"/>
      <c r="D167" s="208"/>
      <c r="E167" s="131">
        <v>2016</v>
      </c>
      <c r="F167" s="289"/>
      <c r="G167" s="290"/>
      <c r="H167" s="290"/>
      <c r="I167" s="290"/>
      <c r="J167" s="291"/>
      <c r="K167" s="163"/>
    </row>
    <row r="168" spans="1:11" x14ac:dyDescent="0.2">
      <c r="A168" s="181"/>
      <c r="B168" s="202"/>
      <c r="C168" s="205"/>
      <c r="D168" s="208"/>
      <c r="E168" s="131">
        <v>2017</v>
      </c>
      <c r="F168" s="289"/>
      <c r="G168" s="290"/>
      <c r="H168" s="290"/>
      <c r="I168" s="290"/>
      <c r="J168" s="291"/>
      <c r="K168" s="163"/>
    </row>
    <row r="169" spans="1:11" x14ac:dyDescent="0.2">
      <c r="A169" s="181"/>
      <c r="B169" s="202"/>
      <c r="C169" s="205"/>
      <c r="D169" s="208"/>
      <c r="E169" s="131">
        <v>2018</v>
      </c>
      <c r="F169" s="289"/>
      <c r="G169" s="290"/>
      <c r="H169" s="290"/>
      <c r="I169" s="290"/>
      <c r="J169" s="291"/>
      <c r="K169" s="163"/>
    </row>
    <row r="170" spans="1:11" x14ac:dyDescent="0.2">
      <c r="A170" s="181"/>
      <c r="B170" s="202"/>
      <c r="C170" s="205"/>
      <c r="D170" s="208"/>
      <c r="E170" s="131">
        <v>2019</v>
      </c>
      <c r="F170" s="289"/>
      <c r="G170" s="290"/>
      <c r="H170" s="290"/>
      <c r="I170" s="290"/>
      <c r="J170" s="291"/>
      <c r="K170" s="163"/>
    </row>
    <row r="171" spans="1:11" x14ac:dyDescent="0.2">
      <c r="A171" s="181"/>
      <c r="B171" s="202"/>
      <c r="C171" s="205"/>
      <c r="D171" s="208"/>
      <c r="E171" s="131">
        <v>2020</v>
      </c>
      <c r="F171" s="292"/>
      <c r="G171" s="293"/>
      <c r="H171" s="293"/>
      <c r="I171" s="293"/>
      <c r="J171" s="294"/>
      <c r="K171" s="163"/>
    </row>
    <row r="172" spans="1:11" x14ac:dyDescent="0.2">
      <c r="A172" s="181"/>
      <c r="B172" s="202"/>
      <c r="C172" s="205"/>
      <c r="D172" s="209"/>
      <c r="E172" s="35" t="s">
        <v>18</v>
      </c>
      <c r="F172" s="6"/>
      <c r="G172" s="6"/>
      <c r="H172" s="6"/>
      <c r="I172" s="6"/>
      <c r="J172" s="6"/>
      <c r="K172" s="164"/>
    </row>
    <row r="173" spans="1:11" ht="14.25" customHeight="1" x14ac:dyDescent="0.2">
      <c r="A173" s="240" t="s">
        <v>163</v>
      </c>
      <c r="B173" s="199" t="s">
        <v>164</v>
      </c>
      <c r="C173" s="183" t="s">
        <v>158</v>
      </c>
      <c r="D173" s="162" t="s">
        <v>257</v>
      </c>
      <c r="E173" s="131">
        <v>2016</v>
      </c>
      <c r="F173" s="16">
        <f>SUM(G173:J173)</f>
        <v>13077.7</v>
      </c>
      <c r="G173" s="30"/>
      <c r="H173" s="30">
        <v>13077.7</v>
      </c>
      <c r="I173" s="30"/>
      <c r="J173" s="30"/>
      <c r="K173" s="162" t="s">
        <v>177</v>
      </c>
    </row>
    <row r="174" spans="1:11" ht="14.25" customHeight="1" x14ac:dyDescent="0.2">
      <c r="A174" s="241"/>
      <c r="B174" s="298"/>
      <c r="C174" s="196"/>
      <c r="D174" s="176"/>
      <c r="E174" s="131">
        <v>2017</v>
      </c>
      <c r="F174" s="30"/>
      <c r="G174" s="30"/>
      <c r="H174" s="30"/>
      <c r="I174" s="30"/>
      <c r="J174" s="30"/>
      <c r="K174" s="176"/>
    </row>
    <row r="175" spans="1:11" ht="15" customHeight="1" x14ac:dyDescent="0.2">
      <c r="A175" s="241"/>
      <c r="B175" s="298"/>
      <c r="C175" s="196"/>
      <c r="D175" s="176"/>
      <c r="E175" s="131">
        <v>2018</v>
      </c>
      <c r="F175" s="30"/>
      <c r="G175" s="30"/>
      <c r="H175" s="30"/>
      <c r="I175" s="30"/>
      <c r="J175" s="30"/>
      <c r="K175" s="176"/>
    </row>
    <row r="176" spans="1:11" ht="13.5" customHeight="1" x14ac:dyDescent="0.2">
      <c r="A176" s="241"/>
      <c r="B176" s="298"/>
      <c r="C176" s="196"/>
      <c r="D176" s="176"/>
      <c r="E176" s="131">
        <v>2019</v>
      </c>
      <c r="F176" s="30"/>
      <c r="G176" s="30"/>
      <c r="H176" s="30"/>
      <c r="I176" s="30"/>
      <c r="J176" s="30"/>
      <c r="K176" s="176"/>
    </row>
    <row r="177" spans="1:32" ht="16.5" customHeight="1" x14ac:dyDescent="0.2">
      <c r="A177" s="241"/>
      <c r="B177" s="298"/>
      <c r="C177" s="196"/>
      <c r="D177" s="176"/>
      <c r="E177" s="131">
        <v>2020</v>
      </c>
      <c r="F177" s="30"/>
      <c r="G177" s="30"/>
      <c r="H177" s="30"/>
      <c r="I177" s="30"/>
      <c r="J177" s="30"/>
      <c r="K177" s="176"/>
    </row>
    <row r="178" spans="1:32" ht="16.5" customHeight="1" x14ac:dyDescent="0.2">
      <c r="A178" s="242"/>
      <c r="B178" s="299"/>
      <c r="C178" s="197"/>
      <c r="D178" s="170"/>
      <c r="E178" s="26" t="s">
        <v>18</v>
      </c>
      <c r="F178" s="30">
        <f>F173+F174+F175+F176+F177</f>
        <v>13077.7</v>
      </c>
      <c r="G178" s="30"/>
      <c r="H178" s="30">
        <f>H173+H174+H175+H176+H177</f>
        <v>13077.7</v>
      </c>
      <c r="I178" s="30"/>
      <c r="J178" s="30"/>
      <c r="K178" s="170"/>
    </row>
    <row r="179" spans="1:32" ht="23.25" customHeight="1" x14ac:dyDescent="0.2">
      <c r="A179" s="300" t="s">
        <v>234</v>
      </c>
      <c r="B179" s="301"/>
      <c r="C179" s="301"/>
      <c r="D179" s="302"/>
      <c r="E179" s="129"/>
      <c r="F179" s="103">
        <f>F172+F158+F151+F137+F144+F178</f>
        <v>2307961.5</v>
      </c>
      <c r="G179" s="103">
        <f>G172+G158+G151+G137+G144+G178</f>
        <v>0</v>
      </c>
      <c r="H179" s="103">
        <f>H172+H158+H151+H137+H144+H178</f>
        <v>1953904.9999999998</v>
      </c>
      <c r="I179" s="103">
        <f>I172+I158+I151+I137+I144+I178</f>
        <v>354056.5</v>
      </c>
      <c r="J179" s="21"/>
      <c r="K179" s="46"/>
    </row>
    <row r="180" spans="1:32" ht="25.5" customHeight="1" thickBot="1" x14ac:dyDescent="0.25">
      <c r="A180" s="295" t="s">
        <v>239</v>
      </c>
      <c r="B180" s="203"/>
      <c r="C180" s="203"/>
      <c r="D180" s="203"/>
      <c r="E180" s="113"/>
      <c r="F180" s="114">
        <f>SUM(G180:I180)</f>
        <v>2642971.8999999994</v>
      </c>
      <c r="G180" s="114">
        <f>G179+G112+G102</f>
        <v>0</v>
      </c>
      <c r="H180" s="114">
        <f>H179+H102</f>
        <v>2136044.5999999996</v>
      </c>
      <c r="I180" s="114">
        <f>I179+I102</f>
        <v>506927.3</v>
      </c>
      <c r="J180" s="115"/>
      <c r="K180" s="113"/>
    </row>
    <row r="181" spans="1:32" ht="18" x14ac:dyDescent="0.2">
      <c r="A181" s="296" t="s">
        <v>227</v>
      </c>
      <c r="B181" s="297"/>
      <c r="C181" s="297"/>
      <c r="D181" s="297"/>
      <c r="E181" s="297"/>
      <c r="F181" s="297"/>
      <c r="G181" s="297"/>
      <c r="H181" s="297"/>
      <c r="I181" s="297"/>
      <c r="J181" s="297"/>
      <c r="K181" s="297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9"/>
    </row>
    <row r="182" spans="1:32" ht="16.5" thickBot="1" x14ac:dyDescent="0.25">
      <c r="A182" s="144" t="s">
        <v>226</v>
      </c>
      <c r="B182" s="145"/>
      <c r="C182" s="145"/>
      <c r="D182" s="145"/>
      <c r="E182" s="145"/>
      <c r="F182" s="145"/>
      <c r="G182" s="145"/>
      <c r="H182" s="145"/>
      <c r="I182" s="145"/>
      <c r="J182" s="145"/>
      <c r="K182" s="145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1"/>
    </row>
    <row r="183" spans="1:32" ht="12.75" customHeight="1" x14ac:dyDescent="0.2">
      <c r="A183" s="198" t="s">
        <v>16</v>
      </c>
      <c r="B183" s="202" t="s">
        <v>258</v>
      </c>
      <c r="C183" s="204" t="s">
        <v>180</v>
      </c>
      <c r="D183" s="207" t="s">
        <v>147</v>
      </c>
      <c r="E183" s="131">
        <v>2015</v>
      </c>
      <c r="F183" s="16"/>
      <c r="G183" s="16"/>
      <c r="H183" s="16"/>
      <c r="I183" s="16"/>
      <c r="J183" s="16"/>
      <c r="K183" s="162" t="s">
        <v>178</v>
      </c>
    </row>
    <row r="184" spans="1:32" x14ac:dyDescent="0.2">
      <c r="A184" s="198"/>
      <c r="B184" s="203"/>
      <c r="C184" s="205"/>
      <c r="D184" s="208"/>
      <c r="E184" s="131">
        <v>2016</v>
      </c>
      <c r="F184" s="16"/>
      <c r="G184" s="16"/>
      <c r="H184" s="16"/>
      <c r="I184" s="16"/>
      <c r="J184" s="16"/>
      <c r="K184" s="176"/>
    </row>
    <row r="185" spans="1:32" x14ac:dyDescent="0.2">
      <c r="A185" s="198"/>
      <c r="B185" s="203"/>
      <c r="C185" s="205"/>
      <c r="D185" s="208"/>
      <c r="E185" s="131">
        <v>2017</v>
      </c>
      <c r="F185" s="16"/>
      <c r="G185" s="16"/>
      <c r="H185" s="16"/>
      <c r="I185" s="16"/>
      <c r="J185" s="16"/>
      <c r="K185" s="176"/>
    </row>
    <row r="186" spans="1:32" x14ac:dyDescent="0.2">
      <c r="A186" s="198"/>
      <c r="B186" s="203"/>
      <c r="C186" s="205"/>
      <c r="D186" s="208"/>
      <c r="E186" s="131">
        <v>2018</v>
      </c>
      <c r="F186" s="16"/>
      <c r="G186" s="16"/>
      <c r="H186" s="16"/>
      <c r="I186" s="16"/>
      <c r="J186" s="16"/>
      <c r="K186" s="176"/>
    </row>
    <row r="187" spans="1:32" x14ac:dyDescent="0.2">
      <c r="A187" s="198"/>
      <c r="B187" s="203"/>
      <c r="C187" s="205"/>
      <c r="D187" s="208"/>
      <c r="E187" s="131">
        <v>2019</v>
      </c>
      <c r="F187" s="16">
        <f>SUM(G187:J187)</f>
        <v>86090.9</v>
      </c>
      <c r="G187" s="16"/>
      <c r="H187" s="16">
        <v>85230</v>
      </c>
      <c r="I187" s="16">
        <v>860.9</v>
      </c>
      <c r="J187" s="16"/>
      <c r="K187" s="176"/>
    </row>
    <row r="188" spans="1:32" x14ac:dyDescent="0.2">
      <c r="A188" s="198"/>
      <c r="B188" s="203"/>
      <c r="C188" s="205"/>
      <c r="D188" s="208"/>
      <c r="E188" s="131">
        <v>2020</v>
      </c>
      <c r="F188" s="16">
        <f>SUM(G188:J188)</f>
        <v>86090.9</v>
      </c>
      <c r="G188" s="16"/>
      <c r="H188" s="16">
        <v>85230</v>
      </c>
      <c r="I188" s="16">
        <v>860.9</v>
      </c>
      <c r="J188" s="16"/>
      <c r="K188" s="176"/>
    </row>
    <row r="189" spans="1:32" ht="13.5" thickBot="1" x14ac:dyDescent="0.25">
      <c r="A189" s="198"/>
      <c r="B189" s="225"/>
      <c r="C189" s="206"/>
      <c r="D189" s="209"/>
      <c r="E189" s="26" t="s">
        <v>18</v>
      </c>
      <c r="F189" s="15">
        <f>SUM(F183:F188)</f>
        <v>172181.8</v>
      </c>
      <c r="G189" s="15">
        <f>SUM(G183:G188)</f>
        <v>0</v>
      </c>
      <c r="H189" s="15">
        <f>SUM(H183:H188)</f>
        <v>170460</v>
      </c>
      <c r="I189" s="15">
        <f>SUM(I183:I188)</f>
        <v>1721.8</v>
      </c>
      <c r="J189" s="16"/>
      <c r="K189" s="170"/>
    </row>
    <row r="190" spans="1:32" ht="12.75" customHeight="1" x14ac:dyDescent="0.2">
      <c r="A190" s="198" t="s">
        <v>19</v>
      </c>
      <c r="B190" s="202" t="s">
        <v>71</v>
      </c>
      <c r="C190" s="204" t="s">
        <v>72</v>
      </c>
      <c r="D190" s="207" t="s">
        <v>147</v>
      </c>
      <c r="E190" s="131">
        <v>2015</v>
      </c>
      <c r="F190" s="16">
        <f>SUM(G190:I190)</f>
        <v>11594</v>
      </c>
      <c r="G190" s="16"/>
      <c r="H190" s="16">
        <f>9200+2278</f>
        <v>11478</v>
      </c>
      <c r="I190" s="16">
        <f>92.9+23.1</f>
        <v>116</v>
      </c>
      <c r="J190" s="16"/>
      <c r="K190" s="162" t="s">
        <v>179</v>
      </c>
    </row>
    <row r="191" spans="1:32" x14ac:dyDescent="0.2">
      <c r="A191" s="198"/>
      <c r="B191" s="203"/>
      <c r="C191" s="205"/>
      <c r="D191" s="208"/>
      <c r="E191" s="131">
        <v>2016</v>
      </c>
      <c r="F191" s="16">
        <f>SUM(G191:I191)</f>
        <v>19791.599999999999</v>
      </c>
      <c r="G191" s="16"/>
      <c r="H191" s="16">
        <v>19593.599999999999</v>
      </c>
      <c r="I191" s="16">
        <v>198</v>
      </c>
      <c r="J191" s="16"/>
      <c r="K191" s="176"/>
    </row>
    <row r="192" spans="1:32" x14ac:dyDescent="0.2">
      <c r="A192" s="198"/>
      <c r="B192" s="203"/>
      <c r="C192" s="205"/>
      <c r="D192" s="208"/>
      <c r="E192" s="131">
        <v>2017</v>
      </c>
      <c r="F192" s="16"/>
      <c r="G192" s="16"/>
      <c r="H192" s="16"/>
      <c r="I192" s="16"/>
      <c r="J192" s="16"/>
      <c r="K192" s="176"/>
    </row>
    <row r="193" spans="1:11" x14ac:dyDescent="0.2">
      <c r="A193" s="198"/>
      <c r="B193" s="203"/>
      <c r="C193" s="205"/>
      <c r="D193" s="208"/>
      <c r="E193" s="131">
        <v>2018</v>
      </c>
      <c r="F193" s="16"/>
      <c r="G193" s="16"/>
      <c r="H193" s="16"/>
      <c r="I193" s="16"/>
      <c r="J193" s="16"/>
      <c r="K193" s="176"/>
    </row>
    <row r="194" spans="1:11" x14ac:dyDescent="0.2">
      <c r="A194" s="198"/>
      <c r="B194" s="203"/>
      <c r="C194" s="205"/>
      <c r="D194" s="208"/>
      <c r="E194" s="131">
        <v>2019</v>
      </c>
      <c r="F194" s="16"/>
      <c r="G194" s="16"/>
      <c r="H194" s="16"/>
      <c r="I194" s="16"/>
      <c r="J194" s="16"/>
      <c r="K194" s="176"/>
    </row>
    <row r="195" spans="1:11" x14ac:dyDescent="0.2">
      <c r="A195" s="198"/>
      <c r="B195" s="203"/>
      <c r="C195" s="205"/>
      <c r="D195" s="208"/>
      <c r="E195" s="131">
        <v>2020</v>
      </c>
      <c r="F195" s="15"/>
      <c r="G195" s="15"/>
      <c r="H195" s="15"/>
      <c r="I195" s="15"/>
      <c r="J195" s="16"/>
      <c r="K195" s="176"/>
    </row>
    <row r="196" spans="1:11" ht="13.5" thickBot="1" x14ac:dyDescent="0.25">
      <c r="A196" s="198"/>
      <c r="B196" s="203"/>
      <c r="C196" s="206"/>
      <c r="D196" s="209"/>
      <c r="E196" s="26" t="s">
        <v>18</v>
      </c>
      <c r="F196" s="15">
        <f>SUM(F190:F195)</f>
        <v>31385.599999999999</v>
      </c>
      <c r="G196" s="15"/>
      <c r="H196" s="15">
        <f>SUM(H190:H195)</f>
        <v>31071.599999999999</v>
      </c>
      <c r="I196" s="15">
        <f>SUM(I190:I195)</f>
        <v>314</v>
      </c>
      <c r="J196" s="16"/>
      <c r="K196" s="170"/>
    </row>
    <row r="197" spans="1:11" x14ac:dyDescent="0.2">
      <c r="A197" s="198" t="s">
        <v>73</v>
      </c>
      <c r="B197" s="202" t="s">
        <v>151</v>
      </c>
      <c r="C197" s="204" t="s">
        <v>181</v>
      </c>
      <c r="D197" s="207" t="s">
        <v>147</v>
      </c>
      <c r="E197" s="131">
        <v>2015</v>
      </c>
      <c r="F197" s="16">
        <f>SUM(G197:I197)</f>
        <v>0</v>
      </c>
      <c r="G197" s="16"/>
      <c r="H197" s="16">
        <f>19500-19500</f>
        <v>0</v>
      </c>
      <c r="I197" s="16">
        <f>197-197</f>
        <v>0</v>
      </c>
      <c r="J197" s="16"/>
      <c r="K197" s="162" t="s">
        <v>219</v>
      </c>
    </row>
    <row r="198" spans="1:11" x14ac:dyDescent="0.2">
      <c r="A198" s="198"/>
      <c r="B198" s="203"/>
      <c r="C198" s="205"/>
      <c r="D198" s="208"/>
      <c r="E198" s="131">
        <v>2016</v>
      </c>
      <c r="F198" s="16">
        <f>SUM(G198:I198)</f>
        <v>0</v>
      </c>
      <c r="G198" s="16"/>
      <c r="H198" s="16">
        <v>0</v>
      </c>
      <c r="I198" s="16">
        <v>0</v>
      </c>
      <c r="J198" s="16"/>
      <c r="K198" s="176"/>
    </row>
    <row r="199" spans="1:11" x14ac:dyDescent="0.2">
      <c r="A199" s="198"/>
      <c r="B199" s="203"/>
      <c r="C199" s="205"/>
      <c r="D199" s="208"/>
      <c r="E199" s="131">
        <v>2017</v>
      </c>
      <c r="F199" s="16">
        <f>SUM(G199:I199)</f>
        <v>0</v>
      </c>
      <c r="G199" s="16"/>
      <c r="H199" s="16">
        <v>0</v>
      </c>
      <c r="I199" s="16">
        <v>0</v>
      </c>
      <c r="J199" s="16"/>
      <c r="K199" s="176"/>
    </row>
    <row r="200" spans="1:11" x14ac:dyDescent="0.2">
      <c r="A200" s="198"/>
      <c r="B200" s="203"/>
      <c r="C200" s="205"/>
      <c r="D200" s="208"/>
      <c r="E200" s="131">
        <v>2018</v>
      </c>
      <c r="F200" s="16">
        <f>SUM(G200:I200)</f>
        <v>0</v>
      </c>
      <c r="G200" s="16"/>
      <c r="H200" s="16">
        <v>0</v>
      </c>
      <c r="I200" s="16">
        <v>0</v>
      </c>
      <c r="J200" s="16"/>
      <c r="K200" s="176"/>
    </row>
    <row r="201" spans="1:11" ht="27.75" customHeight="1" thickBot="1" x14ac:dyDescent="0.25">
      <c r="A201" s="198"/>
      <c r="B201" s="203"/>
      <c r="C201" s="206"/>
      <c r="D201" s="209"/>
      <c r="E201" s="26" t="s">
        <v>18</v>
      </c>
      <c r="F201" s="15">
        <f>SUM(F197:F198)</f>
        <v>0</v>
      </c>
      <c r="G201" s="15"/>
      <c r="H201" s="15">
        <f>SUM(H197:H198)</f>
        <v>0</v>
      </c>
      <c r="I201" s="15">
        <f>SUM(I197:I198)</f>
        <v>0</v>
      </c>
      <c r="J201" s="16"/>
      <c r="K201" s="170"/>
    </row>
    <row r="202" spans="1:11" ht="15" x14ac:dyDescent="0.2">
      <c r="A202" s="52" t="s">
        <v>152</v>
      </c>
      <c r="B202" s="135"/>
      <c r="C202" s="44"/>
      <c r="D202" s="53"/>
      <c r="E202" s="26"/>
      <c r="F202" s="3"/>
      <c r="G202" s="3"/>
      <c r="H202" s="3"/>
      <c r="I202" s="3"/>
      <c r="J202" s="2"/>
      <c r="K202" s="131"/>
    </row>
    <row r="203" spans="1:11" x14ac:dyDescent="0.2">
      <c r="A203" s="198" t="s">
        <v>74</v>
      </c>
      <c r="B203" s="199" t="s">
        <v>284</v>
      </c>
      <c r="C203" s="183" t="s">
        <v>75</v>
      </c>
      <c r="D203" s="162" t="s">
        <v>257</v>
      </c>
      <c r="E203" s="131">
        <v>2015</v>
      </c>
      <c r="F203" s="16">
        <f t="shared" ref="F203:F208" si="5">SUM(G203:I203)</f>
        <v>11247</v>
      </c>
      <c r="G203" s="16"/>
      <c r="H203" s="16">
        <v>11106</v>
      </c>
      <c r="I203" s="16">
        <f>176.6-5-30.6</f>
        <v>141</v>
      </c>
      <c r="J203" s="16"/>
      <c r="K203" s="162" t="s">
        <v>182</v>
      </c>
    </row>
    <row r="204" spans="1:11" x14ac:dyDescent="0.2">
      <c r="A204" s="198"/>
      <c r="B204" s="200"/>
      <c r="C204" s="196"/>
      <c r="D204" s="176"/>
      <c r="E204" s="131">
        <v>2016</v>
      </c>
      <c r="F204" s="16">
        <f t="shared" si="5"/>
        <v>15935.899999999998</v>
      </c>
      <c r="G204" s="16"/>
      <c r="H204" s="16"/>
      <c r="I204" s="16">
        <f>329.1+8010.2+741.4+6855.2</f>
        <v>15935.899999999998</v>
      </c>
      <c r="J204" s="16"/>
      <c r="K204" s="176"/>
    </row>
    <row r="205" spans="1:11" x14ac:dyDescent="0.2">
      <c r="A205" s="198"/>
      <c r="B205" s="200"/>
      <c r="C205" s="196"/>
      <c r="D205" s="176"/>
      <c r="E205" s="131">
        <v>2017</v>
      </c>
      <c r="F205" s="16">
        <f t="shared" si="5"/>
        <v>0</v>
      </c>
      <c r="G205" s="16"/>
      <c r="H205" s="16">
        <v>0</v>
      </c>
      <c r="I205" s="16">
        <v>0</v>
      </c>
      <c r="J205" s="16"/>
      <c r="K205" s="176"/>
    </row>
    <row r="206" spans="1:11" x14ac:dyDescent="0.2">
      <c r="A206" s="198"/>
      <c r="B206" s="200"/>
      <c r="C206" s="196"/>
      <c r="D206" s="176"/>
      <c r="E206" s="131">
        <v>2018</v>
      </c>
      <c r="F206" s="16">
        <f t="shared" si="5"/>
        <v>5974</v>
      </c>
      <c r="G206" s="16"/>
      <c r="H206" s="16">
        <v>5675</v>
      </c>
      <c r="I206" s="16">
        <v>299</v>
      </c>
      <c r="J206" s="16"/>
      <c r="K206" s="176"/>
    </row>
    <row r="207" spans="1:11" x14ac:dyDescent="0.2">
      <c r="A207" s="198"/>
      <c r="B207" s="200"/>
      <c r="C207" s="196"/>
      <c r="D207" s="176"/>
      <c r="E207" s="131">
        <v>2019</v>
      </c>
      <c r="F207" s="16">
        <f t="shared" si="5"/>
        <v>24921</v>
      </c>
      <c r="G207" s="16"/>
      <c r="H207" s="16">
        <v>23675</v>
      </c>
      <c r="I207" s="16">
        <v>1246</v>
      </c>
      <c r="J207" s="16"/>
      <c r="K207" s="176"/>
    </row>
    <row r="208" spans="1:11" x14ac:dyDescent="0.2">
      <c r="A208" s="198"/>
      <c r="B208" s="200"/>
      <c r="C208" s="196"/>
      <c r="D208" s="176"/>
      <c r="E208" s="131">
        <v>2020</v>
      </c>
      <c r="F208" s="16">
        <f t="shared" si="5"/>
        <v>17771.5</v>
      </c>
      <c r="G208" s="16"/>
      <c r="H208" s="16">
        <v>16882.5</v>
      </c>
      <c r="I208" s="16">
        <f>615+274</f>
        <v>889</v>
      </c>
      <c r="J208" s="16"/>
      <c r="K208" s="176"/>
    </row>
    <row r="209" spans="1:33" ht="60" customHeight="1" x14ac:dyDescent="0.2">
      <c r="A209" s="211"/>
      <c r="B209" s="201"/>
      <c r="C209" s="197"/>
      <c r="D209" s="170"/>
      <c r="E209" s="35" t="s">
        <v>18</v>
      </c>
      <c r="F209" s="54">
        <f>SUM(F203:F208)</f>
        <v>75849.399999999994</v>
      </c>
      <c r="G209" s="54">
        <f>SUM(G203:G208)</f>
        <v>0</v>
      </c>
      <c r="H209" s="54">
        <f>SUM(H203:H208)</f>
        <v>57338.5</v>
      </c>
      <c r="I209" s="54">
        <f>SUM(I203:I208)</f>
        <v>18510.899999999998</v>
      </c>
      <c r="J209" s="30"/>
      <c r="K209" s="170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F209" s="37"/>
      <c r="AG209" s="37"/>
    </row>
    <row r="210" spans="1:33" x14ac:dyDescent="0.2">
      <c r="A210" s="214" t="s">
        <v>285</v>
      </c>
      <c r="B210" s="199" t="s">
        <v>287</v>
      </c>
      <c r="C210" s="183" t="s">
        <v>286</v>
      </c>
      <c r="D210" s="162" t="s">
        <v>257</v>
      </c>
      <c r="E210" s="140">
        <v>2016</v>
      </c>
      <c r="F210" s="16">
        <f t="shared" ref="F210:F211" si="6">SUM(G210:I210)</f>
        <v>8400</v>
      </c>
      <c r="G210" s="16"/>
      <c r="H210" s="16">
        <v>0</v>
      </c>
      <c r="I210" s="16">
        <v>8400</v>
      </c>
      <c r="J210" s="16"/>
      <c r="K210" s="162" t="s">
        <v>182</v>
      </c>
    </row>
    <row r="211" spans="1:33" x14ac:dyDescent="0.2">
      <c r="A211" s="215"/>
      <c r="B211" s="200"/>
      <c r="C211" s="196"/>
      <c r="D211" s="176"/>
      <c r="E211" s="140">
        <v>2017</v>
      </c>
      <c r="F211" s="16">
        <f t="shared" si="6"/>
        <v>54600</v>
      </c>
      <c r="G211" s="16"/>
      <c r="H211" s="16">
        <v>53000</v>
      </c>
      <c r="I211" s="16">
        <v>1600</v>
      </c>
      <c r="J211" s="16"/>
      <c r="K211" s="176"/>
    </row>
    <row r="212" spans="1:33" ht="109.5" customHeight="1" x14ac:dyDescent="0.2">
      <c r="A212" s="216"/>
      <c r="B212" s="201"/>
      <c r="C212" s="197"/>
      <c r="D212" s="170"/>
      <c r="E212" s="35" t="s">
        <v>18</v>
      </c>
      <c r="F212" s="54">
        <f>SUM(F210:F211)</f>
        <v>63000</v>
      </c>
      <c r="G212" s="54">
        <f>SUM(G210:G211)</f>
        <v>0</v>
      </c>
      <c r="H212" s="54">
        <f>SUM(H210:H211)</f>
        <v>53000</v>
      </c>
      <c r="I212" s="54">
        <f>SUM(I210:I211)</f>
        <v>10000</v>
      </c>
      <c r="J212" s="30"/>
      <c r="K212" s="170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</row>
    <row r="213" spans="1:33" ht="14.25" customHeight="1" x14ac:dyDescent="0.2">
      <c r="A213" s="185" t="s">
        <v>255</v>
      </c>
      <c r="B213" s="210"/>
      <c r="C213" s="210"/>
      <c r="D213" s="210"/>
      <c r="E213" s="210"/>
      <c r="F213" s="210"/>
      <c r="G213" s="210"/>
      <c r="H213" s="210"/>
      <c r="I213" s="210"/>
      <c r="J213" s="210"/>
      <c r="K213" s="210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  <c r="Z213" s="45"/>
      <c r="AA213" s="45"/>
      <c r="AB213" s="45"/>
      <c r="AC213" s="45"/>
      <c r="AD213" s="45"/>
      <c r="AE213" s="45"/>
      <c r="AF213" s="45"/>
      <c r="AG213" s="37"/>
    </row>
    <row r="214" spans="1:33" x14ac:dyDescent="0.2">
      <c r="A214" s="198" t="s">
        <v>146</v>
      </c>
      <c r="B214" s="151" t="s">
        <v>183</v>
      </c>
      <c r="C214" s="183" t="s">
        <v>75</v>
      </c>
      <c r="D214" s="162" t="s">
        <v>257</v>
      </c>
      <c r="E214" s="131">
        <v>2015</v>
      </c>
      <c r="F214" s="16">
        <f>SUM(G214:I214)</f>
        <v>3333.3</v>
      </c>
      <c r="G214" s="16"/>
      <c r="H214" s="16">
        <v>3300</v>
      </c>
      <c r="I214" s="16">
        <v>33.299999999999997</v>
      </c>
      <c r="J214" s="16"/>
      <c r="K214" s="162" t="s">
        <v>182</v>
      </c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</row>
    <row r="215" spans="1:33" x14ac:dyDescent="0.2">
      <c r="A215" s="198"/>
      <c r="B215" s="152"/>
      <c r="C215" s="196"/>
      <c r="D215" s="176"/>
      <c r="E215" s="131">
        <v>2016</v>
      </c>
      <c r="F215" s="16">
        <f>SUM(G215:I215)</f>
        <v>369.7</v>
      </c>
      <c r="G215" s="16"/>
      <c r="H215" s="16"/>
      <c r="I215" s="16">
        <v>369.7</v>
      </c>
      <c r="J215" s="16"/>
      <c r="K215" s="176"/>
    </row>
    <row r="216" spans="1:33" x14ac:dyDescent="0.2">
      <c r="A216" s="198"/>
      <c r="B216" s="152"/>
      <c r="C216" s="196"/>
      <c r="D216" s="176"/>
      <c r="E216" s="131">
        <v>2017</v>
      </c>
      <c r="F216" s="16"/>
      <c r="G216" s="16"/>
      <c r="H216" s="16"/>
      <c r="I216" s="16"/>
      <c r="J216" s="16"/>
      <c r="K216" s="176"/>
    </row>
    <row r="217" spans="1:33" x14ac:dyDescent="0.2">
      <c r="A217" s="198"/>
      <c r="B217" s="152"/>
      <c r="C217" s="196"/>
      <c r="D217" s="176"/>
      <c r="E217" s="131">
        <v>2018</v>
      </c>
      <c r="F217" s="16"/>
      <c r="G217" s="16"/>
      <c r="H217" s="16"/>
      <c r="I217" s="16"/>
      <c r="J217" s="16"/>
      <c r="K217" s="176"/>
    </row>
    <row r="218" spans="1:33" x14ac:dyDescent="0.2">
      <c r="A218" s="198"/>
      <c r="B218" s="152"/>
      <c r="C218" s="196"/>
      <c r="D218" s="176"/>
      <c r="E218" s="131">
        <v>2019</v>
      </c>
      <c r="F218" s="16"/>
      <c r="G218" s="16"/>
      <c r="H218" s="16"/>
      <c r="I218" s="16"/>
      <c r="J218" s="16"/>
      <c r="K218" s="176"/>
    </row>
    <row r="219" spans="1:33" x14ac:dyDescent="0.2">
      <c r="A219" s="198"/>
      <c r="B219" s="152"/>
      <c r="C219" s="196"/>
      <c r="D219" s="176"/>
      <c r="E219" s="131">
        <v>2020</v>
      </c>
      <c r="F219" s="16"/>
      <c r="G219" s="16"/>
      <c r="H219" s="16"/>
      <c r="I219" s="16"/>
      <c r="J219" s="16"/>
      <c r="K219" s="176"/>
    </row>
    <row r="220" spans="1:33" ht="60.75" customHeight="1" x14ac:dyDescent="0.2">
      <c r="A220" s="198"/>
      <c r="B220" s="152"/>
      <c r="C220" s="197"/>
      <c r="D220" s="170"/>
      <c r="E220" s="26" t="s">
        <v>18</v>
      </c>
      <c r="F220" s="15">
        <f>SUM(F214:F219)</f>
        <v>3703</v>
      </c>
      <c r="G220" s="15"/>
      <c r="H220" s="15">
        <f>SUM(H214:H219)</f>
        <v>3300</v>
      </c>
      <c r="I220" s="15">
        <f>SUM(I214:I219)</f>
        <v>403</v>
      </c>
      <c r="J220" s="16"/>
      <c r="K220" s="170"/>
    </row>
    <row r="221" spans="1:33" ht="15" customHeight="1" x14ac:dyDescent="0.2">
      <c r="A221" s="403" t="s">
        <v>27</v>
      </c>
      <c r="B221" s="212" t="s">
        <v>161</v>
      </c>
      <c r="C221" s="183" t="s">
        <v>256</v>
      </c>
      <c r="D221" s="162" t="s">
        <v>257</v>
      </c>
      <c r="E221" s="131">
        <v>2016</v>
      </c>
      <c r="F221" s="54">
        <f>G221+H221+I221</f>
        <v>5500</v>
      </c>
      <c r="G221" s="54"/>
      <c r="H221" s="54"/>
      <c r="I221" s="30">
        <v>5500</v>
      </c>
      <c r="J221" s="30"/>
      <c r="K221" s="162" t="s">
        <v>176</v>
      </c>
    </row>
    <row r="222" spans="1:33" ht="13.5" customHeight="1" x14ac:dyDescent="0.2">
      <c r="A222" s="348"/>
      <c r="B222" s="213"/>
      <c r="C222" s="196"/>
      <c r="D222" s="176"/>
      <c r="E222" s="131">
        <v>2017</v>
      </c>
      <c r="F222" s="54"/>
      <c r="G222" s="54"/>
      <c r="H222" s="54"/>
      <c r="I222" s="54"/>
      <c r="J222" s="30"/>
      <c r="K222" s="176"/>
    </row>
    <row r="223" spans="1:33" ht="18.75" customHeight="1" x14ac:dyDescent="0.2">
      <c r="A223" s="348"/>
      <c r="B223" s="213"/>
      <c r="C223" s="196"/>
      <c r="D223" s="176"/>
      <c r="E223" s="131">
        <v>2018</v>
      </c>
      <c r="F223" s="54"/>
      <c r="G223" s="54"/>
      <c r="H223" s="54"/>
      <c r="I223" s="54"/>
      <c r="J223" s="30"/>
      <c r="K223" s="176"/>
    </row>
    <row r="224" spans="1:33" ht="16.5" customHeight="1" x14ac:dyDescent="0.2">
      <c r="A224" s="348"/>
      <c r="B224" s="213"/>
      <c r="C224" s="196"/>
      <c r="D224" s="176"/>
      <c r="E224" s="131">
        <v>2019</v>
      </c>
      <c r="F224" s="54"/>
      <c r="G224" s="54"/>
      <c r="H224" s="54"/>
      <c r="I224" s="54"/>
      <c r="J224" s="30"/>
      <c r="K224" s="176"/>
    </row>
    <row r="225" spans="1:36" ht="15.75" customHeight="1" x14ac:dyDescent="0.2">
      <c r="A225" s="348"/>
      <c r="B225" s="213"/>
      <c r="C225" s="196"/>
      <c r="D225" s="176"/>
      <c r="E225" s="131">
        <v>2020</v>
      </c>
      <c r="F225" s="54"/>
      <c r="G225" s="54"/>
      <c r="H225" s="54"/>
      <c r="I225" s="54"/>
      <c r="J225" s="30"/>
      <c r="K225" s="176"/>
    </row>
    <row r="226" spans="1:36" ht="16.5" customHeight="1" x14ac:dyDescent="0.2">
      <c r="A226" s="349"/>
      <c r="B226" s="168"/>
      <c r="C226" s="197"/>
      <c r="D226" s="170"/>
      <c r="E226" s="35" t="s">
        <v>18</v>
      </c>
      <c r="F226" s="54">
        <f>SUM(F221:F225)</f>
        <v>5500</v>
      </c>
      <c r="G226" s="54"/>
      <c r="H226" s="54">
        <v>0</v>
      </c>
      <c r="I226" s="54">
        <f>SUM(I221:I225)</f>
        <v>5500</v>
      </c>
      <c r="J226" s="30"/>
      <c r="K226" s="170"/>
    </row>
    <row r="227" spans="1:36" ht="15" customHeight="1" x14ac:dyDescent="0.2">
      <c r="A227" s="185" t="s">
        <v>223</v>
      </c>
      <c r="B227" s="186"/>
      <c r="C227" s="186"/>
      <c r="D227" s="186"/>
      <c r="E227" s="186"/>
      <c r="F227" s="186"/>
      <c r="G227" s="186"/>
      <c r="H227" s="186"/>
      <c r="I227" s="186"/>
      <c r="J227" s="186"/>
      <c r="K227" s="186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  <c r="AB227" s="55"/>
      <c r="AC227" s="55"/>
      <c r="AD227" s="55"/>
      <c r="AE227" s="55"/>
      <c r="AF227" s="55"/>
    </row>
    <row r="228" spans="1:36" x14ac:dyDescent="0.2">
      <c r="A228" s="187" t="s">
        <v>165</v>
      </c>
      <c r="B228" s="151" t="s">
        <v>76</v>
      </c>
      <c r="C228" s="153" t="s">
        <v>75</v>
      </c>
      <c r="D228" s="175" t="s">
        <v>257</v>
      </c>
      <c r="E228" s="131">
        <v>2015</v>
      </c>
      <c r="F228" s="16">
        <f t="shared" ref="F228:F233" si="7">SUM(G228:I228)</f>
        <v>28178.2</v>
      </c>
      <c r="G228" s="16"/>
      <c r="H228" s="16"/>
      <c r="I228" s="16">
        <f>27846.2+850-518</f>
        <v>28178.2</v>
      </c>
      <c r="J228" s="16"/>
      <c r="K228" s="162" t="s">
        <v>174</v>
      </c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F228" s="37"/>
    </row>
    <row r="229" spans="1:36" x14ac:dyDescent="0.2">
      <c r="A229" s="187"/>
      <c r="B229" s="152"/>
      <c r="C229" s="153"/>
      <c r="D229" s="175"/>
      <c r="E229" s="131">
        <v>2016</v>
      </c>
      <c r="F229" s="16">
        <f t="shared" si="7"/>
        <v>28927</v>
      </c>
      <c r="G229" s="16"/>
      <c r="H229" s="16"/>
      <c r="I229" s="16">
        <f>29107-180</f>
        <v>28927</v>
      </c>
      <c r="J229" s="16"/>
      <c r="K229" s="176"/>
      <c r="L229" s="56">
        <f>H208+H188</f>
        <v>102112.5</v>
      </c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F229" s="37"/>
    </row>
    <row r="230" spans="1:36" x14ac:dyDescent="0.2">
      <c r="A230" s="187"/>
      <c r="B230" s="152"/>
      <c r="C230" s="153"/>
      <c r="D230" s="175"/>
      <c r="E230" s="131">
        <v>2017</v>
      </c>
      <c r="F230" s="16">
        <f t="shared" si="7"/>
        <v>30044.9</v>
      </c>
      <c r="G230" s="16"/>
      <c r="H230" s="16"/>
      <c r="I230" s="16">
        <v>30044.9</v>
      </c>
      <c r="J230" s="16"/>
      <c r="K230" s="176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F230" s="37"/>
    </row>
    <row r="231" spans="1:36" x14ac:dyDescent="0.2">
      <c r="A231" s="187"/>
      <c r="B231" s="152"/>
      <c r="C231" s="153"/>
      <c r="D231" s="175"/>
      <c r="E231" s="131">
        <v>2018</v>
      </c>
      <c r="F231" s="16">
        <f t="shared" si="7"/>
        <v>29807.5</v>
      </c>
      <c r="G231" s="16"/>
      <c r="H231" s="16"/>
      <c r="I231" s="16">
        <v>29807.5</v>
      </c>
      <c r="J231" s="16"/>
      <c r="K231" s="176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F231" s="37"/>
    </row>
    <row r="232" spans="1:36" x14ac:dyDescent="0.2">
      <c r="A232" s="187"/>
      <c r="B232" s="152"/>
      <c r="C232" s="153"/>
      <c r="D232" s="175"/>
      <c r="E232" s="131">
        <v>2019</v>
      </c>
      <c r="F232" s="16">
        <f t="shared" si="7"/>
        <v>29360.400000000001</v>
      </c>
      <c r="G232" s="16"/>
      <c r="H232" s="16"/>
      <c r="I232" s="16">
        <v>29360.400000000001</v>
      </c>
      <c r="J232" s="16"/>
      <c r="K232" s="176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F232" s="37"/>
    </row>
    <row r="233" spans="1:36" x14ac:dyDescent="0.2">
      <c r="A233" s="187"/>
      <c r="B233" s="152"/>
      <c r="C233" s="153"/>
      <c r="D233" s="175"/>
      <c r="E233" s="131">
        <v>2020</v>
      </c>
      <c r="F233" s="16">
        <f t="shared" si="7"/>
        <v>28083.200000000001</v>
      </c>
      <c r="G233" s="16"/>
      <c r="H233" s="16"/>
      <c r="I233" s="16">
        <v>28083.200000000001</v>
      </c>
      <c r="J233" s="16"/>
      <c r="K233" s="176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F233" s="37"/>
    </row>
    <row r="234" spans="1:36" ht="23.25" customHeight="1" x14ac:dyDescent="0.2">
      <c r="A234" s="187"/>
      <c r="B234" s="152"/>
      <c r="C234" s="153"/>
      <c r="D234" s="175"/>
      <c r="E234" s="35" t="s">
        <v>18</v>
      </c>
      <c r="F234" s="54">
        <f>SUM(F228:F233)</f>
        <v>174401.2</v>
      </c>
      <c r="G234" s="54"/>
      <c r="H234" s="54"/>
      <c r="I234" s="54">
        <f>SUM(I228:I233)</f>
        <v>174401.2</v>
      </c>
      <c r="J234" s="30"/>
      <c r="K234" s="170"/>
    </row>
    <row r="235" spans="1:36" ht="16.5" customHeight="1" x14ac:dyDescent="0.2">
      <c r="A235" s="188" t="s">
        <v>259</v>
      </c>
      <c r="B235" s="189"/>
      <c r="C235" s="189"/>
      <c r="D235" s="189"/>
      <c r="E235" s="35" t="s">
        <v>18</v>
      </c>
      <c r="F235" s="19">
        <f>F234+F220+F209+F196+F189+F226+F212</f>
        <v>526021</v>
      </c>
      <c r="G235" s="21"/>
      <c r="H235" s="19">
        <f>H220+H209+H196+H189+H226+H212</f>
        <v>315170.09999999998</v>
      </c>
      <c r="I235" s="19">
        <f>I234+I220+I209+I196+I189+I226+I212</f>
        <v>210850.9</v>
      </c>
      <c r="J235" s="47"/>
      <c r="K235" s="46"/>
    </row>
    <row r="236" spans="1:36" ht="18.75" customHeight="1" x14ac:dyDescent="0.25">
      <c r="A236" s="190" t="s">
        <v>77</v>
      </c>
      <c r="B236" s="190"/>
      <c r="C236" s="190"/>
      <c r="D236" s="190"/>
      <c r="E236" s="190"/>
      <c r="F236" s="190"/>
      <c r="G236" s="190"/>
      <c r="H236" s="190"/>
      <c r="I236" s="190"/>
      <c r="J236" s="190"/>
      <c r="K236" s="190"/>
    </row>
    <row r="237" spans="1:36" ht="31.5" customHeight="1" x14ac:dyDescent="0.2">
      <c r="A237" s="191" t="s">
        <v>78</v>
      </c>
      <c r="B237" s="192"/>
      <c r="C237" s="192"/>
      <c r="D237" s="192"/>
      <c r="E237" s="192"/>
      <c r="F237" s="192"/>
      <c r="G237" s="192"/>
      <c r="H237" s="192"/>
      <c r="I237" s="192"/>
      <c r="J237" s="192"/>
      <c r="K237" s="192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  <c r="AB237" s="57"/>
      <c r="AC237" s="57"/>
      <c r="AD237" s="57"/>
      <c r="AE237" s="57"/>
      <c r="AF237" s="57"/>
      <c r="AG237" s="37"/>
      <c r="AH237" s="37"/>
      <c r="AI237" s="37"/>
      <c r="AJ237" s="37"/>
    </row>
    <row r="238" spans="1:36" x14ac:dyDescent="0.2">
      <c r="A238" s="187" t="s">
        <v>79</v>
      </c>
      <c r="B238" s="193" t="s">
        <v>276</v>
      </c>
      <c r="C238" s="183" t="s">
        <v>75</v>
      </c>
      <c r="D238" s="162" t="s">
        <v>257</v>
      </c>
      <c r="E238" s="131">
        <v>2015</v>
      </c>
      <c r="F238" s="16">
        <f t="shared" ref="F238:F243" si="8">SUM(G238:J238)</f>
        <v>471461.89999999997</v>
      </c>
      <c r="G238" s="16"/>
      <c r="H238" s="16">
        <f>457488.8+13973.1</f>
        <v>471461.89999999997</v>
      </c>
      <c r="I238" s="16"/>
      <c r="J238" s="16"/>
      <c r="K238" s="162" t="s">
        <v>184</v>
      </c>
    </row>
    <row r="239" spans="1:36" x14ac:dyDescent="0.2">
      <c r="A239" s="187"/>
      <c r="B239" s="194"/>
      <c r="C239" s="196"/>
      <c r="D239" s="176"/>
      <c r="E239" s="131">
        <v>2016</v>
      </c>
      <c r="F239" s="16">
        <f t="shared" si="8"/>
        <v>503346</v>
      </c>
      <c r="G239" s="16"/>
      <c r="H239" s="16">
        <v>503346</v>
      </c>
      <c r="I239" s="16"/>
      <c r="J239" s="16"/>
      <c r="K239" s="176"/>
    </row>
    <row r="240" spans="1:36" x14ac:dyDescent="0.2">
      <c r="A240" s="187"/>
      <c r="B240" s="194"/>
      <c r="C240" s="196"/>
      <c r="D240" s="176"/>
      <c r="E240" s="131">
        <v>2017</v>
      </c>
      <c r="F240" s="16">
        <f t="shared" si="8"/>
        <v>481675.6</v>
      </c>
      <c r="G240" s="16"/>
      <c r="H240" s="16">
        <v>481675.6</v>
      </c>
      <c r="I240" s="16"/>
      <c r="J240" s="16"/>
      <c r="K240" s="176"/>
    </row>
    <row r="241" spans="1:32" x14ac:dyDescent="0.2">
      <c r="A241" s="187"/>
      <c r="B241" s="194"/>
      <c r="C241" s="196"/>
      <c r="D241" s="176"/>
      <c r="E241" s="131">
        <v>2018</v>
      </c>
      <c r="F241" s="16">
        <f t="shared" si="8"/>
        <v>731140</v>
      </c>
      <c r="G241" s="16"/>
      <c r="H241" s="16">
        <v>731140</v>
      </c>
      <c r="I241" s="16"/>
      <c r="J241" s="16"/>
      <c r="K241" s="176"/>
    </row>
    <row r="242" spans="1:32" x14ac:dyDescent="0.2">
      <c r="A242" s="187"/>
      <c r="B242" s="194"/>
      <c r="C242" s="196"/>
      <c r="D242" s="176"/>
      <c r="E242" s="131">
        <v>2019</v>
      </c>
      <c r="F242" s="16">
        <f t="shared" si="8"/>
        <v>773900</v>
      </c>
      <c r="G242" s="16"/>
      <c r="H242" s="16">
        <v>773900</v>
      </c>
      <c r="I242" s="16"/>
      <c r="J242" s="16"/>
      <c r="K242" s="176"/>
    </row>
    <row r="243" spans="1:32" x14ac:dyDescent="0.2">
      <c r="A243" s="187"/>
      <c r="B243" s="194"/>
      <c r="C243" s="196"/>
      <c r="D243" s="176"/>
      <c r="E243" s="131">
        <v>2020</v>
      </c>
      <c r="F243" s="16">
        <f t="shared" si="8"/>
        <v>823140</v>
      </c>
      <c r="G243" s="16"/>
      <c r="H243" s="16">
        <v>823140</v>
      </c>
      <c r="I243" s="16"/>
      <c r="J243" s="16"/>
      <c r="K243" s="176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F243" s="37"/>
    </row>
    <row r="244" spans="1:32" ht="37.5" customHeight="1" x14ac:dyDescent="0.2">
      <c r="A244" s="187"/>
      <c r="B244" s="195"/>
      <c r="C244" s="197"/>
      <c r="D244" s="176"/>
      <c r="E244" s="26" t="s">
        <v>18</v>
      </c>
      <c r="F244" s="15">
        <f>SUM(F238:F243)</f>
        <v>3784663.5</v>
      </c>
      <c r="G244" s="15"/>
      <c r="H244" s="15">
        <f>SUM(H238:H243)</f>
        <v>3784663.5</v>
      </c>
      <c r="I244" s="15"/>
      <c r="J244" s="15"/>
      <c r="K244" s="170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F244" s="37"/>
    </row>
    <row r="245" spans="1:32" x14ac:dyDescent="0.2">
      <c r="A245" s="185" t="s">
        <v>80</v>
      </c>
      <c r="B245" s="303"/>
      <c r="C245" s="303"/>
      <c r="D245" s="303"/>
      <c r="E245" s="303"/>
      <c r="F245" s="303"/>
      <c r="G245" s="303"/>
      <c r="H245" s="303"/>
      <c r="I245" s="303"/>
      <c r="J245" s="303"/>
      <c r="K245" s="303"/>
      <c r="L245" s="58"/>
      <c r="M245" s="58"/>
      <c r="N245" s="58"/>
      <c r="O245" s="58"/>
      <c r="P245" s="58"/>
      <c r="Q245" s="58"/>
      <c r="R245" s="58"/>
      <c r="S245" s="58"/>
      <c r="T245" s="58"/>
      <c r="U245" s="58"/>
      <c r="V245" s="58"/>
      <c r="W245" s="58"/>
      <c r="X245" s="58"/>
      <c r="Y245" s="58"/>
      <c r="Z245" s="58"/>
      <c r="AA245" s="58"/>
      <c r="AB245" s="58"/>
      <c r="AC245" s="58"/>
      <c r="AD245" s="58"/>
      <c r="AE245" s="58"/>
      <c r="AF245" s="58"/>
    </row>
    <row r="246" spans="1:32" x14ac:dyDescent="0.2">
      <c r="A246" s="180" t="s">
        <v>81</v>
      </c>
      <c r="B246" s="304" t="s">
        <v>254</v>
      </c>
      <c r="C246" s="183" t="s">
        <v>75</v>
      </c>
      <c r="D246" s="162" t="s">
        <v>257</v>
      </c>
      <c r="E246" s="7">
        <v>2015</v>
      </c>
      <c r="F246" s="14">
        <f t="shared" ref="F246:F251" si="9">SUM(H246:I246)</f>
        <v>23806.500000000004</v>
      </c>
      <c r="G246" s="14"/>
      <c r="H246" s="14">
        <f>25365.4-1504.8-54.1</f>
        <v>23806.500000000004</v>
      </c>
      <c r="I246" s="14"/>
      <c r="J246" s="14"/>
      <c r="K246" s="162" t="s">
        <v>185</v>
      </c>
    </row>
    <row r="247" spans="1:32" x14ac:dyDescent="0.2">
      <c r="A247" s="181"/>
      <c r="B247" s="305"/>
      <c r="C247" s="196"/>
      <c r="D247" s="176"/>
      <c r="E247" s="131">
        <v>2016</v>
      </c>
      <c r="F247" s="16">
        <f t="shared" si="9"/>
        <v>12072.599999999999</v>
      </c>
      <c r="G247" s="16"/>
      <c r="H247" s="16">
        <f>12116.8-44.2</f>
        <v>12072.599999999999</v>
      </c>
      <c r="I247" s="16"/>
      <c r="J247" s="16"/>
      <c r="K247" s="176"/>
    </row>
    <row r="248" spans="1:32" x14ac:dyDescent="0.2">
      <c r="A248" s="181"/>
      <c r="B248" s="305"/>
      <c r="C248" s="196"/>
      <c r="D248" s="176"/>
      <c r="E248" s="131">
        <v>2017</v>
      </c>
      <c r="F248" s="16">
        <f t="shared" si="9"/>
        <v>27699.9</v>
      </c>
      <c r="G248" s="16"/>
      <c r="H248" s="16">
        <v>27699.9</v>
      </c>
      <c r="I248" s="16"/>
      <c r="J248" s="16"/>
      <c r="K248" s="176"/>
    </row>
    <row r="249" spans="1:32" x14ac:dyDescent="0.2">
      <c r="A249" s="181"/>
      <c r="B249" s="305"/>
      <c r="C249" s="196"/>
      <c r="D249" s="176"/>
      <c r="E249" s="131">
        <v>2018</v>
      </c>
      <c r="F249" s="16">
        <f t="shared" si="9"/>
        <v>0</v>
      </c>
      <c r="G249" s="16"/>
      <c r="H249" s="16"/>
      <c r="I249" s="16"/>
      <c r="J249" s="16"/>
      <c r="K249" s="176"/>
    </row>
    <row r="250" spans="1:32" x14ac:dyDescent="0.2">
      <c r="A250" s="181"/>
      <c r="B250" s="305"/>
      <c r="C250" s="196"/>
      <c r="D250" s="176"/>
      <c r="E250" s="131">
        <v>2019</v>
      </c>
      <c r="F250" s="16">
        <f t="shared" si="9"/>
        <v>0</v>
      </c>
      <c r="G250" s="16"/>
      <c r="H250" s="16"/>
      <c r="I250" s="16"/>
      <c r="J250" s="16"/>
      <c r="K250" s="176"/>
    </row>
    <row r="251" spans="1:32" x14ac:dyDescent="0.2">
      <c r="A251" s="181"/>
      <c r="B251" s="305"/>
      <c r="C251" s="196"/>
      <c r="D251" s="176"/>
      <c r="E251" s="131">
        <v>2020</v>
      </c>
      <c r="F251" s="16">
        <f t="shared" si="9"/>
        <v>0</v>
      </c>
      <c r="G251" s="16"/>
      <c r="H251" s="16"/>
      <c r="I251" s="16"/>
      <c r="J251" s="16"/>
      <c r="K251" s="176"/>
    </row>
    <row r="252" spans="1:32" ht="13.5" thickBot="1" x14ac:dyDescent="0.25">
      <c r="A252" s="182"/>
      <c r="B252" s="306"/>
      <c r="C252" s="197"/>
      <c r="D252" s="176"/>
      <c r="E252" s="26" t="s">
        <v>18</v>
      </c>
      <c r="F252" s="15">
        <f>SUM(F246:F251)</f>
        <v>63579.000000000007</v>
      </c>
      <c r="G252" s="15"/>
      <c r="H252" s="15">
        <f>SUM(H246:H251)</f>
        <v>63579.000000000007</v>
      </c>
      <c r="I252" s="15"/>
      <c r="J252" s="15"/>
      <c r="K252" s="170"/>
    </row>
    <row r="253" spans="1:32" x14ac:dyDescent="0.2">
      <c r="A253" s="181" t="s">
        <v>187</v>
      </c>
      <c r="B253" s="312" t="s">
        <v>186</v>
      </c>
      <c r="C253" s="183" t="s">
        <v>75</v>
      </c>
      <c r="D253" s="162" t="s">
        <v>257</v>
      </c>
      <c r="E253" s="131">
        <v>2015</v>
      </c>
      <c r="F253" s="16"/>
      <c r="G253" s="16"/>
      <c r="H253" s="16"/>
      <c r="I253" s="16"/>
      <c r="J253" s="16"/>
      <c r="K253" s="162" t="s">
        <v>188</v>
      </c>
    </row>
    <row r="254" spans="1:32" x14ac:dyDescent="0.2">
      <c r="A254" s="181"/>
      <c r="B254" s="305"/>
      <c r="C254" s="196"/>
      <c r="D254" s="176"/>
      <c r="E254" s="131">
        <v>2016</v>
      </c>
      <c r="F254" s="16"/>
      <c r="G254" s="16"/>
      <c r="H254" s="16"/>
      <c r="I254" s="16"/>
      <c r="J254" s="16"/>
      <c r="K254" s="176"/>
    </row>
    <row r="255" spans="1:32" x14ac:dyDescent="0.2">
      <c r="A255" s="181"/>
      <c r="B255" s="305"/>
      <c r="C255" s="196"/>
      <c r="D255" s="176"/>
      <c r="E255" s="131">
        <v>2017</v>
      </c>
      <c r="F255" s="16"/>
      <c r="G255" s="16"/>
      <c r="H255" s="16"/>
      <c r="I255" s="16"/>
      <c r="J255" s="16"/>
      <c r="K255" s="176"/>
    </row>
    <row r="256" spans="1:32" x14ac:dyDescent="0.2">
      <c r="A256" s="181"/>
      <c r="B256" s="305"/>
      <c r="C256" s="196"/>
      <c r="D256" s="176"/>
      <c r="E256" s="131">
        <v>2018</v>
      </c>
      <c r="F256" s="16"/>
      <c r="G256" s="16"/>
      <c r="H256" s="16"/>
      <c r="I256" s="16"/>
      <c r="J256" s="16"/>
      <c r="K256" s="176"/>
    </row>
    <row r="257" spans="1:32" x14ac:dyDescent="0.2">
      <c r="A257" s="181"/>
      <c r="B257" s="305"/>
      <c r="C257" s="196"/>
      <c r="D257" s="176"/>
      <c r="E257" s="131">
        <v>2019</v>
      </c>
      <c r="F257" s="16"/>
      <c r="G257" s="16"/>
      <c r="H257" s="16"/>
      <c r="I257" s="16"/>
      <c r="J257" s="16"/>
      <c r="K257" s="176"/>
    </row>
    <row r="258" spans="1:32" x14ac:dyDescent="0.2">
      <c r="A258" s="181"/>
      <c r="B258" s="305"/>
      <c r="C258" s="196"/>
      <c r="D258" s="176"/>
      <c r="E258" s="131">
        <v>2020</v>
      </c>
      <c r="F258" s="16"/>
      <c r="G258" s="16"/>
      <c r="H258" s="16"/>
      <c r="I258" s="16"/>
      <c r="J258" s="16"/>
      <c r="K258" s="176"/>
    </row>
    <row r="259" spans="1:32" ht="13.5" thickBot="1" x14ac:dyDescent="0.25">
      <c r="A259" s="182"/>
      <c r="B259" s="305"/>
      <c r="C259" s="196"/>
      <c r="D259" s="176"/>
      <c r="E259" s="35" t="s">
        <v>18</v>
      </c>
      <c r="F259" s="30"/>
      <c r="G259" s="30"/>
      <c r="H259" s="30"/>
      <c r="I259" s="30"/>
      <c r="J259" s="30"/>
      <c r="K259" s="176"/>
    </row>
    <row r="260" spans="1:32" ht="15.75" thickBot="1" x14ac:dyDescent="0.25">
      <c r="A260" s="307" t="s">
        <v>246</v>
      </c>
      <c r="B260" s="308"/>
      <c r="C260" s="308"/>
      <c r="D260" s="308"/>
      <c r="E260" s="141"/>
      <c r="F260" s="124">
        <f>F244+F252</f>
        <v>3848242.5</v>
      </c>
      <c r="G260" s="124"/>
      <c r="H260" s="124">
        <f>H244+H252</f>
        <v>3848242.5</v>
      </c>
      <c r="I260" s="142"/>
      <c r="J260" s="142"/>
      <c r="K260" s="143"/>
    </row>
    <row r="261" spans="1:32" ht="16.5" customHeight="1" thickBot="1" x14ac:dyDescent="0.3">
      <c r="A261" s="313" t="s">
        <v>228</v>
      </c>
      <c r="B261" s="314"/>
      <c r="C261" s="314"/>
      <c r="D261" s="314"/>
      <c r="E261" s="314"/>
      <c r="F261" s="314"/>
      <c r="G261" s="314"/>
      <c r="H261" s="314"/>
      <c r="I261" s="314"/>
      <c r="J261" s="314"/>
      <c r="K261" s="314"/>
      <c r="L261" s="111"/>
      <c r="M261" s="111"/>
      <c r="N261" s="111"/>
      <c r="O261" s="111"/>
      <c r="P261" s="111"/>
      <c r="Q261" s="111"/>
      <c r="R261" s="111"/>
      <c r="S261" s="111"/>
      <c r="T261" s="111"/>
      <c r="U261" s="111"/>
      <c r="V261" s="111"/>
      <c r="W261" s="111"/>
      <c r="X261" s="111"/>
      <c r="Y261" s="111"/>
      <c r="Z261" s="111"/>
      <c r="AA261" s="111"/>
      <c r="AB261" s="111"/>
      <c r="AC261" s="111"/>
      <c r="AD261" s="111"/>
      <c r="AE261" s="111"/>
      <c r="AF261" s="112"/>
    </row>
    <row r="262" spans="1:32" ht="135" customHeight="1" thickBot="1" x14ac:dyDescent="0.25">
      <c r="A262" s="309" t="s">
        <v>82</v>
      </c>
      <c r="B262" s="310"/>
      <c r="C262" s="310"/>
      <c r="D262" s="310"/>
      <c r="E262" s="310"/>
      <c r="F262" s="310"/>
      <c r="G262" s="310"/>
      <c r="H262" s="310"/>
      <c r="I262" s="310"/>
      <c r="J262" s="310"/>
      <c r="K262" s="311"/>
    </row>
    <row r="263" spans="1:32" x14ac:dyDescent="0.2">
      <c r="A263" s="181" t="s">
        <v>46</v>
      </c>
      <c r="B263" s="312" t="s">
        <v>277</v>
      </c>
      <c r="C263" s="183" t="s">
        <v>75</v>
      </c>
      <c r="D263" s="162" t="s">
        <v>257</v>
      </c>
      <c r="E263" s="131">
        <v>2015</v>
      </c>
      <c r="F263" s="16">
        <f t="shared" ref="F263:F268" si="10">SUM(G263:H263)</f>
        <v>29177</v>
      </c>
      <c r="G263" s="16"/>
      <c r="H263" s="16">
        <f>25777+3400</f>
        <v>29177</v>
      </c>
      <c r="I263" s="16"/>
      <c r="J263" s="16"/>
      <c r="K263" s="162" t="s">
        <v>189</v>
      </c>
    </row>
    <row r="264" spans="1:32" x14ac:dyDescent="0.2">
      <c r="A264" s="181"/>
      <c r="B264" s="325"/>
      <c r="C264" s="196"/>
      <c r="D264" s="176"/>
      <c r="E264" s="131">
        <v>2016</v>
      </c>
      <c r="F264" s="16">
        <f t="shared" si="10"/>
        <v>32323</v>
      </c>
      <c r="G264" s="16"/>
      <c r="H264" s="16">
        <v>32323</v>
      </c>
      <c r="I264" s="16"/>
      <c r="J264" s="16"/>
      <c r="K264" s="176"/>
    </row>
    <row r="265" spans="1:32" x14ac:dyDescent="0.2">
      <c r="A265" s="181"/>
      <c r="B265" s="325"/>
      <c r="C265" s="196"/>
      <c r="D265" s="176"/>
      <c r="E265" s="131">
        <v>2017</v>
      </c>
      <c r="F265" s="16">
        <f t="shared" si="10"/>
        <v>30943.1</v>
      </c>
      <c r="G265" s="16"/>
      <c r="H265" s="16">
        <v>30943.1</v>
      </c>
      <c r="I265" s="16"/>
      <c r="J265" s="16"/>
      <c r="K265" s="176"/>
    </row>
    <row r="266" spans="1:32" x14ac:dyDescent="0.2">
      <c r="A266" s="181"/>
      <c r="B266" s="325"/>
      <c r="C266" s="196"/>
      <c r="D266" s="176"/>
      <c r="E266" s="131">
        <v>2018</v>
      </c>
      <c r="F266" s="16">
        <f t="shared" si="10"/>
        <v>34091.5</v>
      </c>
      <c r="G266" s="16"/>
      <c r="H266" s="16">
        <v>34091.5</v>
      </c>
      <c r="I266" s="16"/>
      <c r="J266" s="16"/>
      <c r="K266" s="176"/>
    </row>
    <row r="267" spans="1:32" x14ac:dyDescent="0.2">
      <c r="A267" s="181"/>
      <c r="B267" s="325"/>
      <c r="C267" s="196"/>
      <c r="D267" s="176"/>
      <c r="E267" s="131">
        <v>2019</v>
      </c>
      <c r="F267" s="16">
        <f t="shared" si="10"/>
        <v>35866.400000000001</v>
      </c>
      <c r="G267" s="16"/>
      <c r="H267" s="16">
        <v>35866.400000000001</v>
      </c>
      <c r="I267" s="16"/>
      <c r="J267" s="16"/>
      <c r="K267" s="176"/>
    </row>
    <row r="268" spans="1:32" x14ac:dyDescent="0.2">
      <c r="A268" s="181"/>
      <c r="B268" s="325"/>
      <c r="C268" s="196"/>
      <c r="D268" s="176"/>
      <c r="E268" s="131">
        <v>2020</v>
      </c>
      <c r="F268" s="16">
        <f t="shared" si="10"/>
        <v>37976</v>
      </c>
      <c r="G268" s="16"/>
      <c r="H268" s="16">
        <v>37976</v>
      </c>
      <c r="I268" s="16"/>
      <c r="J268" s="16"/>
      <c r="K268" s="176"/>
    </row>
    <row r="269" spans="1:32" ht="42.75" customHeight="1" x14ac:dyDescent="0.2">
      <c r="A269" s="182"/>
      <c r="B269" s="325"/>
      <c r="C269" s="197"/>
      <c r="D269" s="176"/>
      <c r="E269" s="26" t="s">
        <v>18</v>
      </c>
      <c r="F269" s="15">
        <f>SUM(F263:F268)</f>
        <v>200377</v>
      </c>
      <c r="G269" s="15"/>
      <c r="H269" s="15">
        <f>SUM(H263:H268)</f>
        <v>200377</v>
      </c>
      <c r="I269" s="15"/>
      <c r="J269" s="15"/>
      <c r="K269" s="170"/>
    </row>
    <row r="270" spans="1:32" x14ac:dyDescent="0.2">
      <c r="A270" s="233" t="s">
        <v>83</v>
      </c>
      <c r="B270" s="202" t="s">
        <v>168</v>
      </c>
      <c r="C270" s="183" t="s">
        <v>84</v>
      </c>
      <c r="D270" s="162" t="s">
        <v>257</v>
      </c>
      <c r="E270" s="131">
        <v>2015</v>
      </c>
      <c r="F270" s="16">
        <f t="shared" ref="F270:F275" si="11">SUM(G270:I270)</f>
        <v>470.20000000000005</v>
      </c>
      <c r="G270" s="16"/>
      <c r="H270" s="16">
        <f>416.1+54.1</f>
        <v>470.20000000000005</v>
      </c>
      <c r="I270" s="16"/>
      <c r="J270" s="16"/>
      <c r="K270" s="321" t="s">
        <v>189</v>
      </c>
    </row>
    <row r="271" spans="1:32" x14ac:dyDescent="0.2">
      <c r="A271" s="233"/>
      <c r="B271" s="203"/>
      <c r="C271" s="163"/>
      <c r="D271" s="176"/>
      <c r="E271" s="131">
        <v>2016</v>
      </c>
      <c r="F271" s="16">
        <f t="shared" si="11"/>
        <v>305.39999999999998</v>
      </c>
      <c r="G271" s="16"/>
      <c r="H271" s="16">
        <f>261.2+44.2</f>
        <v>305.39999999999998</v>
      </c>
      <c r="I271" s="16"/>
      <c r="J271" s="16"/>
      <c r="K271" s="322"/>
    </row>
    <row r="272" spans="1:32" x14ac:dyDescent="0.2">
      <c r="A272" s="233"/>
      <c r="B272" s="203"/>
      <c r="C272" s="163"/>
      <c r="D272" s="176"/>
      <c r="E272" s="131">
        <v>2017</v>
      </c>
      <c r="F272" s="16">
        <f t="shared" si="11"/>
        <v>454</v>
      </c>
      <c r="G272" s="16"/>
      <c r="H272" s="16">
        <v>454</v>
      </c>
      <c r="I272" s="16"/>
      <c r="J272" s="16"/>
      <c r="K272" s="322"/>
    </row>
    <row r="273" spans="1:11" x14ac:dyDescent="0.2">
      <c r="A273" s="233"/>
      <c r="B273" s="203"/>
      <c r="C273" s="163"/>
      <c r="D273" s="176"/>
      <c r="E273" s="131">
        <v>2018</v>
      </c>
      <c r="F273" s="16">
        <f t="shared" si="11"/>
        <v>1290</v>
      </c>
      <c r="G273" s="16"/>
      <c r="H273" s="16">
        <v>1290</v>
      </c>
      <c r="I273" s="16"/>
      <c r="J273" s="16"/>
      <c r="K273" s="322"/>
    </row>
    <row r="274" spans="1:11" x14ac:dyDescent="0.2">
      <c r="A274" s="233"/>
      <c r="B274" s="203"/>
      <c r="C274" s="163"/>
      <c r="D274" s="176"/>
      <c r="E274" s="131">
        <v>2019</v>
      </c>
      <c r="F274" s="16">
        <f t="shared" si="11"/>
        <v>1350</v>
      </c>
      <c r="G274" s="16"/>
      <c r="H274" s="16">
        <v>1350</v>
      </c>
      <c r="I274" s="16"/>
      <c r="J274" s="16"/>
      <c r="K274" s="322"/>
    </row>
    <row r="275" spans="1:11" x14ac:dyDescent="0.2">
      <c r="A275" s="233"/>
      <c r="B275" s="203"/>
      <c r="C275" s="163"/>
      <c r="D275" s="176"/>
      <c r="E275" s="131">
        <v>2020</v>
      </c>
      <c r="F275" s="16">
        <f t="shared" si="11"/>
        <v>1420</v>
      </c>
      <c r="G275" s="16"/>
      <c r="H275" s="16">
        <v>1420</v>
      </c>
      <c r="I275" s="16"/>
      <c r="J275" s="16"/>
      <c r="K275" s="322"/>
    </row>
    <row r="276" spans="1:11" x14ac:dyDescent="0.2">
      <c r="A276" s="233"/>
      <c r="B276" s="225"/>
      <c r="C276" s="164"/>
      <c r="D276" s="176"/>
      <c r="E276" s="26" t="s">
        <v>18</v>
      </c>
      <c r="F276" s="15">
        <f>SUM(F270:F275)</f>
        <v>5289.6</v>
      </c>
      <c r="G276" s="15"/>
      <c r="H276" s="15">
        <f>SUM(H270:H275)</f>
        <v>5289.6</v>
      </c>
      <c r="I276" s="16"/>
      <c r="J276" s="16"/>
      <c r="K276" s="323"/>
    </row>
    <row r="277" spans="1:11" x14ac:dyDescent="0.2">
      <c r="A277" s="180" t="s">
        <v>85</v>
      </c>
      <c r="B277" s="202" t="s">
        <v>166</v>
      </c>
      <c r="C277" s="183" t="s">
        <v>84</v>
      </c>
      <c r="D277" s="162" t="s">
        <v>257</v>
      </c>
      <c r="E277" s="131">
        <v>2015</v>
      </c>
      <c r="F277" s="16">
        <f t="shared" ref="F277:F282" si="12">SUM(G277:J277)</f>
        <v>5042</v>
      </c>
      <c r="G277" s="16"/>
      <c r="H277" s="16">
        <v>4991.6000000000004</v>
      </c>
      <c r="I277" s="16">
        <v>50.4</v>
      </c>
      <c r="J277" s="16"/>
      <c r="K277" s="162" t="s">
        <v>189</v>
      </c>
    </row>
    <row r="278" spans="1:11" x14ac:dyDescent="0.2">
      <c r="A278" s="181"/>
      <c r="B278" s="203"/>
      <c r="C278" s="163"/>
      <c r="D278" s="176"/>
      <c r="E278" s="131">
        <v>2016</v>
      </c>
      <c r="F278" s="16">
        <f t="shared" si="12"/>
        <v>0</v>
      </c>
      <c r="G278" s="16"/>
      <c r="H278" s="16"/>
      <c r="I278" s="16">
        <v>0</v>
      </c>
      <c r="J278" s="16"/>
      <c r="K278" s="176"/>
    </row>
    <row r="279" spans="1:11" x14ac:dyDescent="0.2">
      <c r="A279" s="181"/>
      <c r="B279" s="203"/>
      <c r="C279" s="163"/>
      <c r="D279" s="176"/>
      <c r="E279" s="131">
        <v>2017</v>
      </c>
      <c r="F279" s="16">
        <f t="shared" si="12"/>
        <v>5506</v>
      </c>
      <c r="G279" s="16"/>
      <c r="H279" s="16">
        <v>5450.9</v>
      </c>
      <c r="I279" s="16">
        <v>55.1</v>
      </c>
      <c r="J279" s="16"/>
      <c r="K279" s="176"/>
    </row>
    <row r="280" spans="1:11" x14ac:dyDescent="0.2">
      <c r="A280" s="181"/>
      <c r="B280" s="203"/>
      <c r="C280" s="163"/>
      <c r="D280" s="176"/>
      <c r="E280" s="131">
        <v>2018</v>
      </c>
      <c r="F280" s="16">
        <f t="shared" si="12"/>
        <v>0</v>
      </c>
      <c r="G280" s="16"/>
      <c r="H280" s="16"/>
      <c r="I280" s="16"/>
      <c r="J280" s="16"/>
      <c r="K280" s="176"/>
    </row>
    <row r="281" spans="1:11" x14ac:dyDescent="0.2">
      <c r="A281" s="181"/>
      <c r="B281" s="203"/>
      <c r="C281" s="163"/>
      <c r="D281" s="176"/>
      <c r="E281" s="131">
        <v>2019</v>
      </c>
      <c r="F281" s="16">
        <f t="shared" si="12"/>
        <v>0</v>
      </c>
      <c r="G281" s="16"/>
      <c r="H281" s="16"/>
      <c r="I281" s="16"/>
      <c r="J281" s="16"/>
      <c r="K281" s="176"/>
    </row>
    <row r="282" spans="1:11" x14ac:dyDescent="0.2">
      <c r="A282" s="181"/>
      <c r="B282" s="203"/>
      <c r="C282" s="163"/>
      <c r="D282" s="176"/>
      <c r="E282" s="131">
        <v>2020</v>
      </c>
      <c r="F282" s="16">
        <f t="shared" si="12"/>
        <v>0</v>
      </c>
      <c r="G282" s="16"/>
      <c r="H282" s="16"/>
      <c r="I282" s="16"/>
      <c r="J282" s="16"/>
      <c r="K282" s="176"/>
    </row>
    <row r="283" spans="1:11" ht="45" customHeight="1" x14ac:dyDescent="0.2">
      <c r="A283" s="182"/>
      <c r="B283" s="203"/>
      <c r="C283" s="164"/>
      <c r="D283" s="176"/>
      <c r="E283" s="26" t="s">
        <v>18</v>
      </c>
      <c r="F283" s="54">
        <f>SUM(F277:F282)</f>
        <v>10548</v>
      </c>
      <c r="G283" s="54"/>
      <c r="H283" s="54">
        <f>SUM(H277:H282)</f>
        <v>10442.5</v>
      </c>
      <c r="I283" s="54">
        <f>SUM(I277:I282)</f>
        <v>105.5</v>
      </c>
      <c r="J283" s="54"/>
      <c r="K283" s="170"/>
    </row>
    <row r="284" spans="1:11" ht="12.75" customHeight="1" x14ac:dyDescent="0.2">
      <c r="A284" s="180" t="s">
        <v>169</v>
      </c>
      <c r="B284" s="151" t="s">
        <v>76</v>
      </c>
      <c r="C284" s="183" t="s">
        <v>84</v>
      </c>
      <c r="D284" s="162" t="s">
        <v>257</v>
      </c>
      <c r="E284" s="131">
        <v>2015</v>
      </c>
      <c r="F284" s="16">
        <f t="shared" ref="F284:F289" si="13">SUM(G284:J284)</f>
        <v>0</v>
      </c>
      <c r="G284" s="16"/>
      <c r="H284" s="16"/>
      <c r="I284" s="16"/>
      <c r="J284" s="16"/>
      <c r="K284" s="162" t="s">
        <v>190</v>
      </c>
    </row>
    <row r="285" spans="1:11" ht="12.75" customHeight="1" x14ac:dyDescent="0.2">
      <c r="A285" s="181"/>
      <c r="B285" s="152"/>
      <c r="C285" s="163"/>
      <c r="D285" s="176"/>
      <c r="E285" s="131">
        <v>2016</v>
      </c>
      <c r="F285" s="16">
        <f t="shared" si="13"/>
        <v>2194.1</v>
      </c>
      <c r="G285" s="16"/>
      <c r="H285" s="16"/>
      <c r="I285" s="16">
        <v>2194.1</v>
      </c>
      <c r="J285" s="16"/>
      <c r="K285" s="176"/>
    </row>
    <row r="286" spans="1:11" ht="12.75" customHeight="1" x14ac:dyDescent="0.2">
      <c r="A286" s="181"/>
      <c r="B286" s="152"/>
      <c r="C286" s="163"/>
      <c r="D286" s="176"/>
      <c r="E286" s="131">
        <v>2017</v>
      </c>
      <c r="F286" s="16">
        <f t="shared" si="13"/>
        <v>0</v>
      </c>
      <c r="G286" s="16"/>
      <c r="H286" s="16"/>
      <c r="I286" s="16"/>
      <c r="J286" s="16"/>
      <c r="K286" s="176"/>
    </row>
    <row r="287" spans="1:11" ht="12.75" customHeight="1" x14ac:dyDescent="0.2">
      <c r="A287" s="181"/>
      <c r="B287" s="152"/>
      <c r="C287" s="163"/>
      <c r="D287" s="176"/>
      <c r="E287" s="131">
        <v>2018</v>
      </c>
      <c r="F287" s="16">
        <f t="shared" si="13"/>
        <v>0</v>
      </c>
      <c r="G287" s="16"/>
      <c r="H287" s="16"/>
      <c r="I287" s="16"/>
      <c r="J287" s="16"/>
      <c r="K287" s="176"/>
    </row>
    <row r="288" spans="1:11" ht="12.75" customHeight="1" x14ac:dyDescent="0.2">
      <c r="A288" s="181"/>
      <c r="B288" s="152"/>
      <c r="C288" s="163"/>
      <c r="D288" s="176"/>
      <c r="E288" s="131">
        <v>2019</v>
      </c>
      <c r="F288" s="16">
        <f t="shared" si="13"/>
        <v>0</v>
      </c>
      <c r="G288" s="16"/>
      <c r="H288" s="16"/>
      <c r="I288" s="16"/>
      <c r="J288" s="16"/>
      <c r="K288" s="176"/>
    </row>
    <row r="289" spans="1:32" ht="12.75" customHeight="1" x14ac:dyDescent="0.2">
      <c r="A289" s="181"/>
      <c r="B289" s="152"/>
      <c r="C289" s="163"/>
      <c r="D289" s="176"/>
      <c r="E289" s="131">
        <v>2020</v>
      </c>
      <c r="F289" s="16">
        <f t="shared" si="13"/>
        <v>0</v>
      </c>
      <c r="G289" s="16"/>
      <c r="H289" s="16"/>
      <c r="I289" s="16"/>
      <c r="J289" s="16"/>
      <c r="K289" s="176"/>
    </row>
    <row r="290" spans="1:32" ht="18" customHeight="1" thickBot="1" x14ac:dyDescent="0.25">
      <c r="A290" s="182"/>
      <c r="B290" s="169"/>
      <c r="C290" s="184"/>
      <c r="D290" s="176"/>
      <c r="E290" s="26" t="s">
        <v>18</v>
      </c>
      <c r="F290" s="54">
        <f>SUM(F284:F289)</f>
        <v>2194.1</v>
      </c>
      <c r="G290" s="54"/>
      <c r="H290" s="54">
        <f>SUM(H284:H289)</f>
        <v>0</v>
      </c>
      <c r="I290" s="54">
        <f>SUM(I284:I289)</f>
        <v>2194.1</v>
      </c>
      <c r="J290" s="54"/>
      <c r="K290" s="170"/>
    </row>
    <row r="291" spans="1:32" ht="15.75" thickBot="1" x14ac:dyDescent="0.3">
      <c r="A291" s="250" t="s">
        <v>224</v>
      </c>
      <c r="B291" s="324"/>
      <c r="C291" s="324"/>
      <c r="D291" s="324"/>
      <c r="E291" s="59"/>
      <c r="F291" s="20">
        <f>F283+F276+F269+F290</f>
        <v>218408.7</v>
      </c>
      <c r="G291" s="20">
        <f>G283+G276+G269</f>
        <v>0</v>
      </c>
      <c r="H291" s="22">
        <f>H283+H276+H269+H290</f>
        <v>216109.1</v>
      </c>
      <c r="I291" s="22">
        <f>I283+I276+I269+I290</f>
        <v>2299.6</v>
      </c>
      <c r="J291" s="60"/>
      <c r="K291" s="61"/>
    </row>
    <row r="292" spans="1:32" ht="16.5" thickBot="1" x14ac:dyDescent="0.3">
      <c r="A292" s="315" t="s">
        <v>229</v>
      </c>
      <c r="B292" s="316"/>
      <c r="C292" s="316"/>
      <c r="D292" s="316"/>
      <c r="E292" s="316"/>
      <c r="F292" s="8"/>
      <c r="G292" s="8"/>
      <c r="H292" s="8"/>
      <c r="I292" s="62"/>
      <c r="J292" s="62"/>
      <c r="K292" s="62"/>
      <c r="L292" s="63"/>
      <c r="M292" s="63"/>
      <c r="N292" s="63"/>
      <c r="O292" s="63"/>
      <c r="P292" s="63"/>
      <c r="Q292" s="63"/>
      <c r="R292" s="63"/>
      <c r="S292" s="63"/>
      <c r="T292" s="63"/>
      <c r="U292" s="63"/>
      <c r="V292" s="63"/>
      <c r="W292" s="63"/>
      <c r="X292" s="63"/>
      <c r="Y292" s="63"/>
      <c r="Z292" s="63"/>
      <c r="AA292" s="63"/>
      <c r="AB292" s="63"/>
      <c r="AC292" s="63"/>
      <c r="AD292" s="63"/>
      <c r="AE292" s="63"/>
      <c r="AF292" s="64"/>
    </row>
    <row r="293" spans="1:32" x14ac:dyDescent="0.2">
      <c r="A293" s="317" t="s">
        <v>153</v>
      </c>
      <c r="B293" s="266" t="s">
        <v>154</v>
      </c>
      <c r="C293" s="183" t="s">
        <v>84</v>
      </c>
      <c r="D293" s="162" t="s">
        <v>257</v>
      </c>
      <c r="E293" s="131">
        <v>2015</v>
      </c>
      <c r="F293" s="16">
        <f t="shared" ref="F293:F298" si="14">SUM(G293:I293)</f>
        <v>175</v>
      </c>
      <c r="G293" s="16"/>
      <c r="H293" s="16"/>
      <c r="I293" s="16">
        <v>175</v>
      </c>
      <c r="J293" s="16"/>
      <c r="K293" s="162" t="s">
        <v>191</v>
      </c>
    </row>
    <row r="294" spans="1:32" x14ac:dyDescent="0.2">
      <c r="A294" s="318"/>
      <c r="B294" s="320"/>
      <c r="C294" s="163"/>
      <c r="D294" s="176"/>
      <c r="E294" s="131">
        <v>2016</v>
      </c>
      <c r="F294" s="16">
        <f t="shared" si="14"/>
        <v>185</v>
      </c>
      <c r="G294" s="16"/>
      <c r="H294" s="16"/>
      <c r="I294" s="16">
        <v>185</v>
      </c>
      <c r="J294" s="16"/>
      <c r="K294" s="176"/>
    </row>
    <row r="295" spans="1:32" x14ac:dyDescent="0.2">
      <c r="A295" s="318"/>
      <c r="B295" s="320"/>
      <c r="C295" s="163"/>
      <c r="D295" s="176"/>
      <c r="E295" s="131">
        <v>2017</v>
      </c>
      <c r="F295" s="16">
        <f t="shared" si="14"/>
        <v>195</v>
      </c>
      <c r="G295" s="16"/>
      <c r="H295" s="16"/>
      <c r="I295" s="16">
        <v>195</v>
      </c>
      <c r="J295" s="16"/>
      <c r="K295" s="176"/>
    </row>
    <row r="296" spans="1:32" x14ac:dyDescent="0.2">
      <c r="A296" s="318"/>
      <c r="B296" s="320"/>
      <c r="C296" s="163"/>
      <c r="D296" s="176"/>
      <c r="E296" s="131">
        <v>2018</v>
      </c>
      <c r="F296" s="16">
        <f t="shared" si="14"/>
        <v>205</v>
      </c>
      <c r="G296" s="16"/>
      <c r="H296" s="16"/>
      <c r="I296" s="16">
        <v>205</v>
      </c>
      <c r="J296" s="16"/>
      <c r="K296" s="176"/>
    </row>
    <row r="297" spans="1:32" x14ac:dyDescent="0.2">
      <c r="A297" s="318"/>
      <c r="B297" s="320"/>
      <c r="C297" s="163"/>
      <c r="D297" s="176"/>
      <c r="E297" s="131">
        <v>2019</v>
      </c>
      <c r="F297" s="16">
        <f t="shared" si="14"/>
        <v>215</v>
      </c>
      <c r="G297" s="16"/>
      <c r="H297" s="16"/>
      <c r="I297" s="16">
        <v>215</v>
      </c>
      <c r="J297" s="16"/>
      <c r="K297" s="176"/>
    </row>
    <row r="298" spans="1:32" x14ac:dyDescent="0.2">
      <c r="A298" s="318"/>
      <c r="B298" s="320"/>
      <c r="C298" s="163"/>
      <c r="D298" s="176"/>
      <c r="E298" s="131">
        <v>2020</v>
      </c>
      <c r="F298" s="16">
        <f t="shared" si="14"/>
        <v>230</v>
      </c>
      <c r="G298" s="16"/>
      <c r="H298" s="16"/>
      <c r="I298" s="16">
        <v>230</v>
      </c>
      <c r="J298" s="16"/>
      <c r="K298" s="176"/>
    </row>
    <row r="299" spans="1:32" ht="58.5" customHeight="1" thickBot="1" x14ac:dyDescent="0.25">
      <c r="A299" s="319"/>
      <c r="B299" s="320"/>
      <c r="C299" s="184"/>
      <c r="D299" s="176"/>
      <c r="E299" s="35" t="s">
        <v>18</v>
      </c>
      <c r="F299" s="54">
        <f>SUM(F293:F298)</f>
        <v>1205</v>
      </c>
      <c r="G299" s="54"/>
      <c r="H299" s="54"/>
      <c r="I299" s="54">
        <f>SUM(I293:I298)</f>
        <v>1205</v>
      </c>
      <c r="J299" s="30"/>
      <c r="K299" s="170"/>
    </row>
    <row r="300" spans="1:32" ht="15.75" thickBot="1" x14ac:dyDescent="0.3">
      <c r="A300" s="250" t="s">
        <v>236</v>
      </c>
      <c r="B300" s="324"/>
      <c r="C300" s="324"/>
      <c r="D300" s="324"/>
      <c r="E300" s="65"/>
      <c r="F300" s="22">
        <f>SUM(F299)</f>
        <v>1205</v>
      </c>
      <c r="G300" s="20">
        <f>SUM(G299)</f>
        <v>0</v>
      </c>
      <c r="H300" s="20">
        <f>SUM(H299)</f>
        <v>0</v>
      </c>
      <c r="I300" s="22">
        <f>SUM(I299)</f>
        <v>1205</v>
      </c>
      <c r="J300" s="60"/>
      <c r="K300" s="61"/>
    </row>
    <row r="301" spans="1:32" ht="16.5" thickBot="1" x14ac:dyDescent="0.25">
      <c r="A301" s="328" t="s">
        <v>230</v>
      </c>
      <c r="B301" s="329"/>
      <c r="C301" s="329"/>
      <c r="D301" s="329"/>
      <c r="E301" s="329"/>
      <c r="F301" s="329"/>
      <c r="G301" s="329"/>
      <c r="H301" s="329"/>
      <c r="I301" s="329"/>
      <c r="J301" s="329"/>
      <c r="K301" s="330"/>
      <c r="L301" s="66"/>
      <c r="M301" s="66"/>
      <c r="N301" s="66"/>
      <c r="O301" s="66"/>
      <c r="P301" s="66"/>
      <c r="Q301" s="66"/>
      <c r="R301" s="66"/>
      <c r="S301" s="66"/>
      <c r="T301" s="66"/>
      <c r="U301" s="66"/>
      <c r="V301" s="66"/>
      <c r="W301" s="66"/>
      <c r="X301" s="66"/>
      <c r="Y301" s="66"/>
      <c r="Z301" s="66"/>
      <c r="AA301" s="66"/>
      <c r="AB301" s="66"/>
      <c r="AC301" s="66"/>
      <c r="AD301" s="66"/>
      <c r="AE301" s="66"/>
      <c r="AF301" s="67"/>
    </row>
    <row r="302" spans="1:32" x14ac:dyDescent="0.2">
      <c r="A302" s="331" t="s">
        <v>192</v>
      </c>
      <c r="B302" s="168" t="s">
        <v>278</v>
      </c>
      <c r="C302" s="196" t="s">
        <v>84</v>
      </c>
      <c r="D302" s="176" t="s">
        <v>257</v>
      </c>
      <c r="E302" s="7">
        <v>2015</v>
      </c>
      <c r="F302" s="14">
        <f t="shared" ref="F302:F307" si="15">SUM(G302:I302)</f>
        <v>275</v>
      </c>
      <c r="G302" s="14"/>
      <c r="H302" s="14"/>
      <c r="I302" s="14">
        <v>275</v>
      </c>
      <c r="J302" s="14"/>
      <c r="K302" s="176" t="s">
        <v>193</v>
      </c>
    </row>
    <row r="303" spans="1:32" x14ac:dyDescent="0.2">
      <c r="A303" s="332"/>
      <c r="B303" s="151"/>
      <c r="C303" s="163"/>
      <c r="D303" s="176"/>
      <c r="E303" s="131">
        <v>2016</v>
      </c>
      <c r="F303" s="16">
        <f t="shared" si="15"/>
        <v>295</v>
      </c>
      <c r="G303" s="16"/>
      <c r="H303" s="16"/>
      <c r="I303" s="16">
        <v>295</v>
      </c>
      <c r="J303" s="16"/>
      <c r="K303" s="176"/>
    </row>
    <row r="304" spans="1:32" x14ac:dyDescent="0.2">
      <c r="A304" s="332"/>
      <c r="B304" s="151"/>
      <c r="C304" s="163"/>
      <c r="D304" s="176"/>
      <c r="E304" s="131">
        <v>2017</v>
      </c>
      <c r="F304" s="16">
        <f t="shared" si="15"/>
        <v>315</v>
      </c>
      <c r="G304" s="16"/>
      <c r="H304" s="16"/>
      <c r="I304" s="16">
        <v>315</v>
      </c>
      <c r="J304" s="16"/>
      <c r="K304" s="176"/>
    </row>
    <row r="305" spans="1:32" x14ac:dyDescent="0.2">
      <c r="A305" s="332"/>
      <c r="B305" s="151"/>
      <c r="C305" s="163"/>
      <c r="D305" s="176"/>
      <c r="E305" s="131">
        <v>2018</v>
      </c>
      <c r="F305" s="16">
        <f t="shared" si="15"/>
        <v>60</v>
      </c>
      <c r="G305" s="16"/>
      <c r="H305" s="16"/>
      <c r="I305" s="16">
        <v>60</v>
      </c>
      <c r="J305" s="16"/>
      <c r="K305" s="176"/>
    </row>
    <row r="306" spans="1:32" x14ac:dyDescent="0.2">
      <c r="A306" s="332"/>
      <c r="B306" s="151"/>
      <c r="C306" s="163"/>
      <c r="D306" s="176"/>
      <c r="E306" s="131">
        <v>2019</v>
      </c>
      <c r="F306" s="16">
        <f t="shared" si="15"/>
        <v>60</v>
      </c>
      <c r="G306" s="16"/>
      <c r="H306" s="16"/>
      <c r="I306" s="16">
        <v>60</v>
      </c>
      <c r="J306" s="16"/>
      <c r="K306" s="176"/>
    </row>
    <row r="307" spans="1:32" x14ac:dyDescent="0.2">
      <c r="A307" s="332"/>
      <c r="B307" s="151"/>
      <c r="C307" s="163"/>
      <c r="D307" s="176"/>
      <c r="E307" s="131">
        <v>2020</v>
      </c>
      <c r="F307" s="16">
        <f t="shared" si="15"/>
        <v>60</v>
      </c>
      <c r="G307" s="16"/>
      <c r="H307" s="16"/>
      <c r="I307" s="16">
        <v>60</v>
      </c>
      <c r="J307" s="16"/>
      <c r="K307" s="176"/>
    </row>
    <row r="308" spans="1:32" ht="59.25" customHeight="1" thickBot="1" x14ac:dyDescent="0.25">
      <c r="A308" s="333"/>
      <c r="B308" s="151"/>
      <c r="C308" s="184"/>
      <c r="D308" s="176"/>
      <c r="E308" s="26" t="s">
        <v>18</v>
      </c>
      <c r="F308" s="15">
        <f>SUM(F302:F307)</f>
        <v>1065</v>
      </c>
      <c r="G308" s="15"/>
      <c r="H308" s="15">
        <f>SUM(H302:H307)</f>
        <v>0</v>
      </c>
      <c r="I308" s="15">
        <f>SUM(I302:I307)</f>
        <v>1065</v>
      </c>
      <c r="J308" s="16"/>
      <c r="K308" s="334"/>
    </row>
    <row r="309" spans="1:32" ht="15.75" thickBot="1" x14ac:dyDescent="0.3">
      <c r="A309" s="250" t="s">
        <v>238</v>
      </c>
      <c r="B309" s="324"/>
      <c r="C309" s="324"/>
      <c r="D309" s="324"/>
      <c r="E309" s="65"/>
      <c r="F309" s="22">
        <f>SUM(F308)</f>
        <v>1065</v>
      </c>
      <c r="G309" s="20">
        <f>SUM(G308)</f>
        <v>0</v>
      </c>
      <c r="H309" s="20">
        <f>SUM(H308)</f>
        <v>0</v>
      </c>
      <c r="I309" s="22">
        <f>SUM(I308)</f>
        <v>1065</v>
      </c>
      <c r="J309" s="60"/>
      <c r="K309" s="61"/>
    </row>
    <row r="310" spans="1:32" ht="16.5" thickBot="1" x14ac:dyDescent="0.25">
      <c r="A310" s="328" t="s">
        <v>231</v>
      </c>
      <c r="B310" s="329"/>
      <c r="C310" s="329"/>
      <c r="D310" s="329"/>
      <c r="E310" s="329"/>
      <c r="F310" s="329"/>
      <c r="G310" s="329"/>
      <c r="H310" s="329"/>
      <c r="I310" s="329"/>
      <c r="J310" s="329"/>
      <c r="K310" s="330"/>
      <c r="L310" s="66"/>
      <c r="M310" s="66"/>
      <c r="N310" s="66"/>
      <c r="O310" s="66"/>
      <c r="P310" s="66"/>
      <c r="Q310" s="66"/>
      <c r="R310" s="66"/>
      <c r="S310" s="66"/>
      <c r="T310" s="66"/>
      <c r="U310" s="66"/>
      <c r="V310" s="66"/>
      <c r="W310" s="66"/>
      <c r="X310" s="66"/>
      <c r="Y310" s="66"/>
      <c r="Z310" s="66"/>
      <c r="AA310" s="66"/>
      <c r="AB310" s="66"/>
      <c r="AC310" s="66"/>
      <c r="AD310" s="66"/>
      <c r="AE310" s="66"/>
      <c r="AF310" s="67"/>
    </row>
    <row r="311" spans="1:32" x14ac:dyDescent="0.2">
      <c r="A311" s="408" t="s">
        <v>194</v>
      </c>
      <c r="B311" s="270" t="s">
        <v>279</v>
      </c>
      <c r="C311" s="196" t="s">
        <v>84</v>
      </c>
      <c r="D311" s="176" t="s">
        <v>257</v>
      </c>
      <c r="E311" s="7">
        <v>2015</v>
      </c>
      <c r="F311" s="14">
        <f t="shared" ref="F311:F316" si="16">SUM(G311:J311)</f>
        <v>1715</v>
      </c>
      <c r="G311" s="14"/>
      <c r="H311" s="14">
        <v>1715</v>
      </c>
      <c r="I311" s="14"/>
      <c r="J311" s="14"/>
      <c r="K311" s="176" t="s">
        <v>195</v>
      </c>
    </row>
    <row r="312" spans="1:32" x14ac:dyDescent="0.2">
      <c r="A312" s="341"/>
      <c r="B312" s="266"/>
      <c r="C312" s="163"/>
      <c r="D312" s="176"/>
      <c r="E312" s="131">
        <v>2016</v>
      </c>
      <c r="F312" s="16">
        <f t="shared" si="16"/>
        <v>2151.3000000000002</v>
      </c>
      <c r="G312" s="16"/>
      <c r="H312" s="16">
        <v>2151.3000000000002</v>
      </c>
      <c r="I312" s="16"/>
      <c r="J312" s="16"/>
      <c r="K312" s="326"/>
    </row>
    <row r="313" spans="1:32" x14ac:dyDescent="0.2">
      <c r="A313" s="341"/>
      <c r="B313" s="266"/>
      <c r="C313" s="163"/>
      <c r="D313" s="176"/>
      <c r="E313" s="131">
        <v>2017</v>
      </c>
      <c r="F313" s="16">
        <f t="shared" si="16"/>
        <v>2058.6999999999998</v>
      </c>
      <c r="G313" s="16"/>
      <c r="H313" s="16">
        <v>2058.6999999999998</v>
      </c>
      <c r="I313" s="16"/>
      <c r="J313" s="16"/>
      <c r="K313" s="326"/>
    </row>
    <row r="314" spans="1:32" x14ac:dyDescent="0.2">
      <c r="A314" s="341"/>
      <c r="B314" s="266"/>
      <c r="C314" s="163"/>
      <c r="D314" s="176"/>
      <c r="E314" s="131">
        <v>2018</v>
      </c>
      <c r="F314" s="16">
        <f t="shared" si="16"/>
        <v>1200</v>
      </c>
      <c r="G314" s="16"/>
      <c r="H314" s="16">
        <v>1200</v>
      </c>
      <c r="I314" s="16"/>
      <c r="J314" s="16"/>
      <c r="K314" s="326"/>
    </row>
    <row r="315" spans="1:32" x14ac:dyDescent="0.2">
      <c r="A315" s="341"/>
      <c r="B315" s="266"/>
      <c r="C315" s="163"/>
      <c r="D315" s="176"/>
      <c r="E315" s="131">
        <v>2019</v>
      </c>
      <c r="F315" s="16">
        <f t="shared" si="16"/>
        <v>1260</v>
      </c>
      <c r="G315" s="16"/>
      <c r="H315" s="16">
        <v>1260</v>
      </c>
      <c r="I315" s="16"/>
      <c r="J315" s="16"/>
      <c r="K315" s="326"/>
    </row>
    <row r="316" spans="1:32" x14ac:dyDescent="0.2">
      <c r="A316" s="341"/>
      <c r="B316" s="266"/>
      <c r="C316" s="163"/>
      <c r="D316" s="176"/>
      <c r="E316" s="131">
        <v>2020</v>
      </c>
      <c r="F316" s="16">
        <f t="shared" si="16"/>
        <v>1530</v>
      </c>
      <c r="G316" s="16"/>
      <c r="H316" s="16">
        <v>1530</v>
      </c>
      <c r="I316" s="16"/>
      <c r="J316" s="16"/>
      <c r="K316" s="326"/>
    </row>
    <row r="317" spans="1:32" ht="63.75" customHeight="1" thickBot="1" x14ac:dyDescent="0.25">
      <c r="A317" s="409"/>
      <c r="B317" s="266"/>
      <c r="C317" s="184"/>
      <c r="D317" s="176"/>
      <c r="E317" s="26" t="s">
        <v>18</v>
      </c>
      <c r="F317" s="15">
        <f>SUM(F311:F316)</f>
        <v>9915</v>
      </c>
      <c r="G317" s="15"/>
      <c r="H317" s="15">
        <f>SUM(H311:H316)</f>
        <v>9915</v>
      </c>
      <c r="I317" s="16"/>
      <c r="J317" s="16"/>
      <c r="K317" s="327"/>
    </row>
    <row r="318" spans="1:32" ht="18" customHeight="1" x14ac:dyDescent="0.2">
      <c r="A318" s="404" t="s">
        <v>260</v>
      </c>
      <c r="B318" s="405"/>
      <c r="C318" s="405"/>
      <c r="D318" s="405"/>
      <c r="E318" s="405"/>
      <c r="F318" s="405"/>
      <c r="G318" s="405"/>
      <c r="H318" s="405"/>
      <c r="I318" s="405"/>
      <c r="J318" s="405"/>
      <c r="K318" s="406"/>
    </row>
    <row r="319" spans="1:32" ht="47.25" customHeight="1" x14ac:dyDescent="0.25">
      <c r="A319" s="407" t="s">
        <v>261</v>
      </c>
      <c r="B319" s="370"/>
      <c r="C319" s="370"/>
      <c r="D319" s="371"/>
      <c r="E319" s="104" t="s">
        <v>75</v>
      </c>
      <c r="F319" s="104" t="s">
        <v>18</v>
      </c>
      <c r="G319" s="104" t="s">
        <v>10</v>
      </c>
      <c r="H319" s="102" t="s">
        <v>11</v>
      </c>
      <c r="I319" s="102" t="s">
        <v>12</v>
      </c>
      <c r="J319" s="102" t="s">
        <v>13</v>
      </c>
      <c r="K319" s="61"/>
    </row>
    <row r="320" spans="1:32" ht="13.5" thickBot="1" x14ac:dyDescent="0.25">
      <c r="A320" s="95"/>
      <c r="B320" s="95"/>
      <c r="C320" s="95"/>
      <c r="D320" s="95"/>
      <c r="E320" s="95"/>
      <c r="F320" s="116">
        <f>SUM(G320:J320)</f>
        <v>4604857.2</v>
      </c>
      <c r="G320" s="116">
        <f>G317+G308+G300+G291+G260+G235</f>
        <v>0</v>
      </c>
      <c r="H320" s="116">
        <f>H317+H308+H300+H291+H260+H235</f>
        <v>4389436.7</v>
      </c>
      <c r="I320" s="116">
        <f>I317+I308+I300+I291+I260+I235</f>
        <v>215420.5</v>
      </c>
      <c r="J320" s="117"/>
      <c r="K320" s="95"/>
    </row>
    <row r="321" spans="1:35" ht="41.25" customHeight="1" x14ac:dyDescent="0.2">
      <c r="A321" s="296" t="s">
        <v>270</v>
      </c>
      <c r="B321" s="297"/>
      <c r="C321" s="297"/>
      <c r="D321" s="297"/>
      <c r="E321" s="297"/>
      <c r="F321" s="297"/>
      <c r="G321" s="297"/>
      <c r="H321" s="297"/>
      <c r="I321" s="297"/>
      <c r="J321" s="297"/>
      <c r="K321" s="297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  <c r="AC321" s="48"/>
      <c r="AD321" s="48"/>
      <c r="AE321" s="48"/>
      <c r="AF321" s="48"/>
      <c r="AG321" s="48"/>
      <c r="AH321" s="48"/>
      <c r="AI321" s="49"/>
    </row>
    <row r="322" spans="1:35" ht="35.25" customHeight="1" x14ac:dyDescent="0.2">
      <c r="A322" s="392" t="s">
        <v>232</v>
      </c>
      <c r="B322" s="336"/>
      <c r="C322" s="336"/>
      <c r="D322" s="336"/>
      <c r="E322" s="336"/>
      <c r="F322" s="336"/>
      <c r="G322" s="336"/>
      <c r="H322" s="336"/>
      <c r="I322" s="336"/>
      <c r="J322" s="336"/>
      <c r="K322" s="336"/>
      <c r="L322" s="68"/>
      <c r="M322" s="68"/>
      <c r="N322" s="68"/>
      <c r="O322" s="68"/>
      <c r="P322" s="68"/>
      <c r="Q322" s="68"/>
      <c r="R322" s="68"/>
      <c r="S322" s="68"/>
      <c r="T322" s="68"/>
      <c r="U322" s="68"/>
      <c r="V322" s="68"/>
      <c r="W322" s="68"/>
      <c r="X322" s="68"/>
      <c r="Y322" s="68"/>
      <c r="Z322" s="68"/>
      <c r="AA322" s="68"/>
      <c r="AB322" s="68"/>
      <c r="AC322" s="68"/>
      <c r="AD322" s="68"/>
      <c r="AE322" s="68"/>
      <c r="AF322" s="68"/>
      <c r="AG322" s="68"/>
      <c r="AH322" s="68"/>
      <c r="AI322" s="69"/>
    </row>
    <row r="323" spans="1:35" x14ac:dyDescent="0.2">
      <c r="A323" s="340" t="s">
        <v>129</v>
      </c>
      <c r="B323" s="199" t="s">
        <v>86</v>
      </c>
      <c r="C323" s="183" t="s">
        <v>84</v>
      </c>
      <c r="D323" s="162" t="s">
        <v>257</v>
      </c>
      <c r="E323" s="131">
        <v>2015</v>
      </c>
      <c r="F323" s="131"/>
      <c r="G323" s="131"/>
      <c r="H323" s="131"/>
      <c r="I323" s="131"/>
      <c r="J323" s="131"/>
      <c r="K323" s="162" t="s">
        <v>196</v>
      </c>
    </row>
    <row r="324" spans="1:35" x14ac:dyDescent="0.2">
      <c r="A324" s="341"/>
      <c r="B324" s="194"/>
      <c r="C324" s="163"/>
      <c r="D324" s="176"/>
      <c r="E324" s="131">
        <v>2016</v>
      </c>
      <c r="F324" s="131"/>
      <c r="G324" s="131"/>
      <c r="H324" s="131"/>
      <c r="I324" s="131"/>
      <c r="J324" s="131"/>
      <c r="K324" s="176"/>
    </row>
    <row r="325" spans="1:35" x14ac:dyDescent="0.2">
      <c r="A325" s="341"/>
      <c r="B325" s="194"/>
      <c r="C325" s="163"/>
      <c r="D325" s="176"/>
      <c r="E325" s="131">
        <v>2017</v>
      </c>
      <c r="F325" s="131"/>
      <c r="G325" s="131"/>
      <c r="H325" s="131"/>
      <c r="I325" s="131"/>
      <c r="J325" s="131"/>
      <c r="K325" s="176"/>
    </row>
    <row r="326" spans="1:35" x14ac:dyDescent="0.2">
      <c r="A326" s="341"/>
      <c r="B326" s="194"/>
      <c r="C326" s="163"/>
      <c r="D326" s="176"/>
      <c r="E326" s="131">
        <v>2018</v>
      </c>
      <c r="F326" s="131"/>
      <c r="G326" s="131"/>
      <c r="H326" s="131"/>
      <c r="I326" s="131"/>
      <c r="J326" s="131"/>
      <c r="K326" s="176"/>
    </row>
    <row r="327" spans="1:35" x14ac:dyDescent="0.2">
      <c r="A327" s="341"/>
      <c r="B327" s="194"/>
      <c r="C327" s="163"/>
      <c r="D327" s="176"/>
      <c r="E327" s="131">
        <v>2019</v>
      </c>
      <c r="F327" s="131"/>
      <c r="G327" s="131"/>
      <c r="H327" s="131"/>
      <c r="I327" s="131"/>
      <c r="J327" s="131"/>
      <c r="K327" s="176"/>
    </row>
    <row r="328" spans="1:35" x14ac:dyDescent="0.2">
      <c r="A328" s="341"/>
      <c r="B328" s="194"/>
      <c r="C328" s="163"/>
      <c r="D328" s="176"/>
      <c r="E328" s="131">
        <v>2020</v>
      </c>
      <c r="F328" s="131"/>
      <c r="G328" s="131"/>
      <c r="H328" s="131"/>
      <c r="I328" s="131"/>
      <c r="J328" s="131"/>
      <c r="K328" s="176"/>
    </row>
    <row r="329" spans="1:35" ht="13.5" thickBot="1" x14ac:dyDescent="0.25">
      <c r="A329" s="341"/>
      <c r="B329" s="194"/>
      <c r="C329" s="163"/>
      <c r="D329" s="176"/>
      <c r="E329" s="35" t="s">
        <v>18</v>
      </c>
      <c r="F329" s="35"/>
      <c r="G329" s="6"/>
      <c r="H329" s="6"/>
      <c r="I329" s="6"/>
      <c r="J329" s="6"/>
      <c r="K329" s="176"/>
    </row>
    <row r="330" spans="1:35" ht="30" customHeight="1" thickBot="1" x14ac:dyDescent="0.25">
      <c r="A330" s="144" t="s">
        <v>233</v>
      </c>
      <c r="B330" s="336"/>
      <c r="C330" s="336"/>
      <c r="D330" s="336"/>
      <c r="E330" s="336"/>
      <c r="F330" s="336"/>
      <c r="G330" s="336"/>
      <c r="H330" s="336"/>
      <c r="I330" s="336"/>
      <c r="J330" s="336"/>
      <c r="K330" s="336"/>
      <c r="L330" s="70"/>
      <c r="M330" s="70"/>
      <c r="N330" s="70"/>
      <c r="O330" s="70"/>
      <c r="P330" s="70"/>
      <c r="Q330" s="70"/>
      <c r="R330" s="70"/>
      <c r="S330" s="70"/>
      <c r="T330" s="70"/>
      <c r="U330" s="70"/>
      <c r="V330" s="70"/>
      <c r="W330" s="70"/>
      <c r="X330" s="70"/>
      <c r="Y330" s="70"/>
      <c r="Z330" s="70"/>
      <c r="AA330" s="70"/>
      <c r="AB330" s="70"/>
      <c r="AC330" s="70"/>
      <c r="AD330" s="70"/>
      <c r="AE330" s="70"/>
      <c r="AF330" s="70"/>
      <c r="AG330" s="70"/>
      <c r="AH330" s="70"/>
      <c r="AI330" s="71"/>
    </row>
    <row r="331" spans="1:35" ht="15" thickBot="1" x14ac:dyDescent="0.25">
      <c r="A331" s="337" t="s">
        <v>87</v>
      </c>
      <c r="B331" s="338"/>
      <c r="C331" s="338"/>
      <c r="D331" s="338"/>
      <c r="E331" s="338"/>
      <c r="F331" s="338"/>
      <c r="G331" s="338"/>
      <c r="H331" s="338"/>
      <c r="I331" s="338"/>
      <c r="J331" s="338"/>
      <c r="K331" s="339"/>
      <c r="L331" s="72"/>
      <c r="M331" s="72"/>
      <c r="N331" s="72"/>
      <c r="O331" s="72"/>
      <c r="P331" s="72"/>
      <c r="Q331" s="72"/>
      <c r="R331" s="72"/>
      <c r="S331" s="72"/>
      <c r="T331" s="72"/>
      <c r="U331" s="72"/>
      <c r="V331" s="72"/>
      <c r="W331" s="72"/>
      <c r="X331" s="72"/>
      <c r="Y331" s="72"/>
      <c r="Z331" s="72"/>
      <c r="AA331" s="72"/>
      <c r="AB331" s="72"/>
      <c r="AC331" s="72"/>
      <c r="AD331" s="72"/>
      <c r="AE331" s="72"/>
      <c r="AF331" s="72"/>
      <c r="AG331" s="72"/>
      <c r="AH331" s="72"/>
      <c r="AI331" s="73"/>
    </row>
    <row r="332" spans="1:35" ht="12.75" customHeight="1" x14ac:dyDescent="0.2">
      <c r="A332" s="149" t="s">
        <v>40</v>
      </c>
      <c r="B332" s="335" t="s">
        <v>198</v>
      </c>
      <c r="C332" s="183" t="s">
        <v>84</v>
      </c>
      <c r="D332" s="162" t="s">
        <v>257</v>
      </c>
      <c r="E332" s="131">
        <v>2015</v>
      </c>
      <c r="F332" s="16">
        <f t="shared" ref="F332:F337" si="17">SUM(G332:J332)</f>
        <v>44637.9</v>
      </c>
      <c r="G332" s="16"/>
      <c r="H332" s="16"/>
      <c r="I332" s="16">
        <f>49100-1324.1-939.1-30-1573.9-583-12</f>
        <v>44637.9</v>
      </c>
      <c r="J332" s="16"/>
      <c r="K332" s="162" t="s">
        <v>197</v>
      </c>
    </row>
    <row r="333" spans="1:35" x14ac:dyDescent="0.2">
      <c r="A333" s="150"/>
      <c r="B333" s="152"/>
      <c r="C333" s="163"/>
      <c r="D333" s="176"/>
      <c r="E333" s="131">
        <v>2016</v>
      </c>
      <c r="F333" s="16">
        <f t="shared" si="17"/>
        <v>46428</v>
      </c>
      <c r="G333" s="16"/>
      <c r="H333" s="16"/>
      <c r="I333" s="16">
        <f>47428-1000</f>
        <v>46428</v>
      </c>
      <c r="J333" s="16"/>
      <c r="K333" s="176"/>
    </row>
    <row r="334" spans="1:35" x14ac:dyDescent="0.2">
      <c r="A334" s="150"/>
      <c r="B334" s="152"/>
      <c r="C334" s="163"/>
      <c r="D334" s="176"/>
      <c r="E334" s="131">
        <v>2017</v>
      </c>
      <c r="F334" s="16">
        <f t="shared" si="17"/>
        <v>51555</v>
      </c>
      <c r="G334" s="16"/>
      <c r="H334" s="16"/>
      <c r="I334" s="16">
        <v>51555</v>
      </c>
      <c r="J334" s="16"/>
      <c r="K334" s="176"/>
    </row>
    <row r="335" spans="1:35" x14ac:dyDescent="0.2">
      <c r="A335" s="150"/>
      <c r="B335" s="152"/>
      <c r="C335" s="163"/>
      <c r="D335" s="176"/>
      <c r="E335" s="131">
        <v>2018</v>
      </c>
      <c r="F335" s="16">
        <f t="shared" si="17"/>
        <v>63004.7</v>
      </c>
      <c r="G335" s="16"/>
      <c r="H335" s="16"/>
      <c r="I335" s="16">
        <v>63004.7</v>
      </c>
      <c r="J335" s="16"/>
      <c r="K335" s="176"/>
    </row>
    <row r="336" spans="1:35" x14ac:dyDescent="0.2">
      <c r="A336" s="150"/>
      <c r="B336" s="152"/>
      <c r="C336" s="163"/>
      <c r="D336" s="176"/>
      <c r="E336" s="131">
        <v>2019</v>
      </c>
      <c r="F336" s="16">
        <f t="shared" si="17"/>
        <v>66280.899999999994</v>
      </c>
      <c r="G336" s="16"/>
      <c r="H336" s="16"/>
      <c r="I336" s="16">
        <v>66280.899999999994</v>
      </c>
      <c r="J336" s="16"/>
      <c r="K336" s="176"/>
    </row>
    <row r="337" spans="1:35" x14ac:dyDescent="0.2">
      <c r="A337" s="150"/>
      <c r="B337" s="152"/>
      <c r="C337" s="163"/>
      <c r="D337" s="176"/>
      <c r="E337" s="131">
        <v>2020</v>
      </c>
      <c r="F337" s="16">
        <f t="shared" si="17"/>
        <v>70058.899999999994</v>
      </c>
      <c r="G337" s="16"/>
      <c r="H337" s="16"/>
      <c r="I337" s="16">
        <v>70058.899999999994</v>
      </c>
      <c r="J337" s="16"/>
      <c r="K337" s="176"/>
    </row>
    <row r="338" spans="1:35" ht="15.75" customHeight="1" thickBot="1" x14ac:dyDescent="0.25">
      <c r="A338" s="150"/>
      <c r="B338" s="169"/>
      <c r="C338" s="184"/>
      <c r="D338" s="176"/>
      <c r="E338" s="26" t="s">
        <v>18</v>
      </c>
      <c r="F338" s="15">
        <f>SUM(F332:F337)</f>
        <v>341965.4</v>
      </c>
      <c r="G338" s="15"/>
      <c r="H338" s="15">
        <f>SUM(H335:H337)</f>
        <v>0</v>
      </c>
      <c r="I338" s="15">
        <f>SUM(I332:I337)</f>
        <v>341965.4</v>
      </c>
      <c r="J338" s="16"/>
      <c r="K338" s="170"/>
    </row>
    <row r="339" spans="1:35" ht="15" thickBot="1" x14ac:dyDescent="0.25">
      <c r="A339" s="146" t="s">
        <v>89</v>
      </c>
      <c r="B339" s="152"/>
      <c r="C339" s="152"/>
      <c r="D339" s="152"/>
      <c r="E339" s="152"/>
      <c r="F339" s="152"/>
      <c r="G339" s="152"/>
      <c r="H339" s="152"/>
      <c r="I339" s="152"/>
      <c r="J339" s="152"/>
      <c r="K339" s="152"/>
      <c r="L339" s="33"/>
      <c r="M339" s="74"/>
      <c r="N339" s="74"/>
      <c r="O339" s="74"/>
      <c r="P339" s="74"/>
      <c r="Q339" s="74"/>
      <c r="R339" s="74"/>
      <c r="S339" s="74"/>
      <c r="T339" s="74"/>
      <c r="U339" s="74"/>
      <c r="V339" s="74"/>
      <c r="W339" s="74"/>
      <c r="X339" s="74"/>
      <c r="Y339" s="74"/>
      <c r="Z339" s="74"/>
      <c r="AA339" s="74"/>
      <c r="AB339" s="74"/>
      <c r="AC339" s="74"/>
      <c r="AD339" s="74"/>
      <c r="AE339" s="74"/>
      <c r="AF339" s="74"/>
      <c r="AG339" s="74"/>
      <c r="AH339" s="74"/>
      <c r="AI339" s="75"/>
    </row>
    <row r="340" spans="1:35" x14ac:dyDescent="0.2">
      <c r="A340" s="173" t="s">
        <v>81</v>
      </c>
      <c r="B340" s="335" t="s">
        <v>199</v>
      </c>
      <c r="C340" s="183" t="s">
        <v>84</v>
      </c>
      <c r="D340" s="162" t="s">
        <v>257</v>
      </c>
      <c r="E340" s="131">
        <v>2015</v>
      </c>
      <c r="F340" s="16"/>
      <c r="G340" s="16"/>
      <c r="H340" s="16"/>
      <c r="I340" s="16"/>
      <c r="J340" s="16"/>
      <c r="K340" s="162" t="s">
        <v>200</v>
      </c>
      <c r="L340" s="37"/>
    </row>
    <row r="341" spans="1:35" x14ac:dyDescent="0.2">
      <c r="A341" s="174"/>
      <c r="B341" s="152"/>
      <c r="C341" s="163"/>
      <c r="D341" s="176"/>
      <c r="E341" s="131">
        <v>2016</v>
      </c>
      <c r="F341" s="16"/>
      <c r="G341" s="16"/>
      <c r="H341" s="16"/>
      <c r="I341" s="16"/>
      <c r="J341" s="16"/>
      <c r="K341" s="176"/>
    </row>
    <row r="342" spans="1:35" x14ac:dyDescent="0.2">
      <c r="A342" s="174"/>
      <c r="B342" s="152"/>
      <c r="C342" s="163"/>
      <c r="D342" s="176"/>
      <c r="E342" s="131">
        <v>2017</v>
      </c>
      <c r="F342" s="16"/>
      <c r="G342" s="16"/>
      <c r="H342" s="16"/>
      <c r="I342" s="16"/>
      <c r="J342" s="16"/>
      <c r="K342" s="176"/>
    </row>
    <row r="343" spans="1:35" x14ac:dyDescent="0.2">
      <c r="A343" s="174"/>
      <c r="B343" s="152"/>
      <c r="C343" s="163"/>
      <c r="D343" s="176"/>
      <c r="E343" s="131">
        <v>2018</v>
      </c>
      <c r="F343" s="16">
        <f>SUM(G343:J343)</f>
        <v>470</v>
      </c>
      <c r="G343" s="16"/>
      <c r="H343" s="16"/>
      <c r="I343" s="16"/>
      <c r="J343" s="16">
        <v>470</v>
      </c>
      <c r="K343" s="176"/>
    </row>
    <row r="344" spans="1:35" x14ac:dyDescent="0.2">
      <c r="A344" s="174"/>
      <c r="B344" s="152"/>
      <c r="C344" s="163"/>
      <c r="D344" s="176"/>
      <c r="E344" s="131">
        <v>2019</v>
      </c>
      <c r="F344" s="16">
        <f>SUM(G344:J344)</f>
        <v>500</v>
      </c>
      <c r="G344" s="16"/>
      <c r="H344" s="16"/>
      <c r="I344" s="16"/>
      <c r="J344" s="16">
        <v>500</v>
      </c>
      <c r="K344" s="176"/>
    </row>
    <row r="345" spans="1:35" x14ac:dyDescent="0.2">
      <c r="A345" s="174"/>
      <c r="B345" s="152"/>
      <c r="C345" s="163"/>
      <c r="D345" s="176"/>
      <c r="E345" s="131">
        <v>2020</v>
      </c>
      <c r="F345" s="16">
        <f>SUM(G345:J345)</f>
        <v>535</v>
      </c>
      <c r="G345" s="16"/>
      <c r="H345" s="16"/>
      <c r="I345" s="16"/>
      <c r="J345" s="16">
        <v>535</v>
      </c>
      <c r="K345" s="176"/>
    </row>
    <row r="346" spans="1:35" ht="13.5" thickBot="1" x14ac:dyDescent="0.25">
      <c r="A346" s="174"/>
      <c r="B346" s="152"/>
      <c r="C346" s="184"/>
      <c r="D346" s="176"/>
      <c r="E346" s="26" t="s">
        <v>18</v>
      </c>
      <c r="F346" s="15">
        <f>SUM(F340:F345)</f>
        <v>1505</v>
      </c>
      <c r="G346" s="16"/>
      <c r="H346" s="16"/>
      <c r="I346" s="16"/>
      <c r="J346" s="15">
        <f>SUM(J340:J345)</f>
        <v>1505</v>
      </c>
      <c r="K346" s="170"/>
    </row>
    <row r="347" spans="1:35" x14ac:dyDescent="0.2">
      <c r="A347" s="345" t="s">
        <v>90</v>
      </c>
      <c r="B347" s="168" t="s">
        <v>201</v>
      </c>
      <c r="C347" s="183" t="s">
        <v>84</v>
      </c>
      <c r="D347" s="162" t="s">
        <v>257</v>
      </c>
      <c r="E347" s="7">
        <v>2015</v>
      </c>
      <c r="F347" s="14"/>
      <c r="G347" s="14"/>
      <c r="H347" s="14"/>
      <c r="I347" s="14"/>
      <c r="J347" s="14"/>
      <c r="K347" s="162" t="s">
        <v>200</v>
      </c>
    </row>
    <row r="348" spans="1:35" x14ac:dyDescent="0.2">
      <c r="A348" s="343"/>
      <c r="B348" s="152"/>
      <c r="C348" s="163"/>
      <c r="D348" s="176"/>
      <c r="E348" s="131">
        <v>2016</v>
      </c>
      <c r="F348" s="16"/>
      <c r="G348" s="16"/>
      <c r="H348" s="16"/>
      <c r="I348" s="16"/>
      <c r="J348" s="16"/>
      <c r="K348" s="176"/>
    </row>
    <row r="349" spans="1:35" x14ac:dyDescent="0.2">
      <c r="A349" s="343"/>
      <c r="B349" s="152"/>
      <c r="C349" s="163"/>
      <c r="D349" s="176"/>
      <c r="E349" s="131">
        <v>2017</v>
      </c>
      <c r="F349" s="16"/>
      <c r="G349" s="16"/>
      <c r="H349" s="16"/>
      <c r="I349" s="16"/>
      <c r="J349" s="16"/>
      <c r="K349" s="176"/>
    </row>
    <row r="350" spans="1:35" x14ac:dyDescent="0.2">
      <c r="A350" s="343"/>
      <c r="B350" s="152"/>
      <c r="C350" s="163"/>
      <c r="D350" s="176"/>
      <c r="E350" s="131">
        <v>2018</v>
      </c>
      <c r="F350" s="16">
        <f>SUM(G350:J350)</f>
        <v>540</v>
      </c>
      <c r="G350" s="16"/>
      <c r="H350" s="16"/>
      <c r="I350" s="16"/>
      <c r="J350" s="16">
        <v>540</v>
      </c>
      <c r="K350" s="176"/>
    </row>
    <row r="351" spans="1:35" x14ac:dyDescent="0.2">
      <c r="A351" s="343"/>
      <c r="B351" s="152"/>
      <c r="C351" s="163"/>
      <c r="D351" s="176"/>
      <c r="E351" s="131">
        <v>2019</v>
      </c>
      <c r="F351" s="16">
        <f>SUM(G351:J351)</f>
        <v>570</v>
      </c>
      <c r="G351" s="16"/>
      <c r="H351" s="16"/>
      <c r="I351" s="16"/>
      <c r="J351" s="16">
        <v>570</v>
      </c>
      <c r="K351" s="176"/>
    </row>
    <row r="352" spans="1:35" x14ac:dyDescent="0.2">
      <c r="A352" s="343"/>
      <c r="B352" s="152"/>
      <c r="C352" s="163"/>
      <c r="D352" s="176"/>
      <c r="E352" s="131">
        <v>2020</v>
      </c>
      <c r="F352" s="16">
        <f>SUM(G352:J352)</f>
        <v>600</v>
      </c>
      <c r="G352" s="16"/>
      <c r="H352" s="16"/>
      <c r="I352" s="16"/>
      <c r="J352" s="16">
        <v>600</v>
      </c>
      <c r="K352" s="176"/>
    </row>
    <row r="353" spans="1:11" x14ac:dyDescent="0.2">
      <c r="A353" s="346"/>
      <c r="B353" s="169"/>
      <c r="C353" s="163"/>
      <c r="D353" s="176"/>
      <c r="E353" s="35" t="s">
        <v>18</v>
      </c>
      <c r="F353" s="54">
        <f>SUM(F350:F352)</f>
        <v>1710</v>
      </c>
      <c r="G353" s="30"/>
      <c r="H353" s="30"/>
      <c r="I353" s="30"/>
      <c r="J353" s="54">
        <f>SUM(J347:J352)</f>
        <v>1710</v>
      </c>
      <c r="K353" s="176"/>
    </row>
    <row r="354" spans="1:11" x14ac:dyDescent="0.2">
      <c r="A354" s="342" t="s">
        <v>155</v>
      </c>
      <c r="B354" s="344" t="s">
        <v>267</v>
      </c>
      <c r="C354" s="183" t="s">
        <v>84</v>
      </c>
      <c r="D354" s="162" t="s">
        <v>257</v>
      </c>
      <c r="E354" s="131">
        <v>2015</v>
      </c>
      <c r="F354" s="16">
        <f t="shared" ref="F354:F359" si="18">SUM(G354:I354)</f>
        <v>1364.4</v>
      </c>
      <c r="G354" s="16"/>
      <c r="H354" s="16"/>
      <c r="I354" s="16">
        <f>1322.4+30+12</f>
        <v>1364.4</v>
      </c>
      <c r="J354" s="16"/>
      <c r="K354" s="162" t="s">
        <v>174</v>
      </c>
    </row>
    <row r="355" spans="1:11" x14ac:dyDescent="0.2">
      <c r="A355" s="343"/>
      <c r="B355" s="203"/>
      <c r="C355" s="163"/>
      <c r="D355" s="176"/>
      <c r="E355" s="131">
        <v>2016</v>
      </c>
      <c r="F355" s="14">
        <f t="shared" si="18"/>
        <v>1322.4</v>
      </c>
      <c r="G355" s="16"/>
      <c r="H355" s="16"/>
      <c r="I355" s="16">
        <v>1322.4</v>
      </c>
      <c r="J355" s="16"/>
      <c r="K355" s="176"/>
    </row>
    <row r="356" spans="1:11" x14ac:dyDescent="0.2">
      <c r="A356" s="343"/>
      <c r="B356" s="203"/>
      <c r="C356" s="163"/>
      <c r="D356" s="176"/>
      <c r="E356" s="131">
        <v>2017</v>
      </c>
      <c r="F356" s="14">
        <f t="shared" si="18"/>
        <v>1322.4</v>
      </c>
      <c r="G356" s="16"/>
      <c r="H356" s="16"/>
      <c r="I356" s="16">
        <v>1322.4</v>
      </c>
      <c r="J356" s="16"/>
      <c r="K356" s="176"/>
    </row>
    <row r="357" spans="1:11" x14ac:dyDescent="0.2">
      <c r="A357" s="343"/>
      <c r="B357" s="203"/>
      <c r="C357" s="163"/>
      <c r="D357" s="176"/>
      <c r="E357" s="131">
        <v>2018</v>
      </c>
      <c r="F357" s="14">
        <f t="shared" si="18"/>
        <v>1312</v>
      </c>
      <c r="G357" s="16"/>
      <c r="H357" s="16"/>
      <c r="I357" s="16">
        <v>1312</v>
      </c>
      <c r="J357" s="16"/>
      <c r="K357" s="176"/>
    </row>
    <row r="358" spans="1:11" x14ac:dyDescent="0.2">
      <c r="A358" s="343"/>
      <c r="B358" s="203"/>
      <c r="C358" s="163"/>
      <c r="D358" s="176"/>
      <c r="E358" s="131">
        <v>2019</v>
      </c>
      <c r="F358" s="14">
        <f t="shared" si="18"/>
        <v>1292.3</v>
      </c>
      <c r="G358" s="16"/>
      <c r="H358" s="16"/>
      <c r="I358" s="16">
        <v>1292.3</v>
      </c>
      <c r="J358" s="16"/>
      <c r="K358" s="176"/>
    </row>
    <row r="359" spans="1:11" x14ac:dyDescent="0.2">
      <c r="A359" s="343"/>
      <c r="B359" s="203"/>
      <c r="C359" s="163"/>
      <c r="D359" s="176"/>
      <c r="E359" s="131">
        <v>2020</v>
      </c>
      <c r="F359" s="14">
        <f t="shared" si="18"/>
        <v>1236.0999999999999</v>
      </c>
      <c r="G359" s="16"/>
      <c r="H359" s="16"/>
      <c r="I359" s="16">
        <v>1236.0999999999999</v>
      </c>
      <c r="J359" s="16"/>
      <c r="K359" s="176"/>
    </row>
    <row r="360" spans="1:11" x14ac:dyDescent="0.2">
      <c r="A360" s="343"/>
      <c r="B360" s="203"/>
      <c r="C360" s="164"/>
      <c r="D360" s="170"/>
      <c r="E360" s="26" t="s">
        <v>18</v>
      </c>
      <c r="F360" s="15">
        <f>SUM(F354:F359)</f>
        <v>7849.6</v>
      </c>
      <c r="G360" s="16"/>
      <c r="H360" s="16"/>
      <c r="I360" s="15">
        <f>SUM(I354:I359)</f>
        <v>7849.6</v>
      </c>
      <c r="J360" s="16"/>
      <c r="K360" s="170"/>
    </row>
    <row r="361" spans="1:11" x14ac:dyDescent="0.2">
      <c r="A361" s="342" t="s">
        <v>156</v>
      </c>
      <c r="B361" s="344" t="s">
        <v>262</v>
      </c>
      <c r="C361" s="183" t="s">
        <v>84</v>
      </c>
      <c r="D361" s="162" t="s">
        <v>257</v>
      </c>
      <c r="E361" s="131">
        <v>2015</v>
      </c>
      <c r="F361" s="16">
        <f>H361+I361</f>
        <v>260.60000000000002</v>
      </c>
      <c r="G361" s="16"/>
      <c r="H361" s="16">
        <v>230</v>
      </c>
      <c r="I361" s="16">
        <v>30.6</v>
      </c>
      <c r="J361" s="16"/>
      <c r="K361" s="162" t="s">
        <v>202</v>
      </c>
    </row>
    <row r="362" spans="1:11" x14ac:dyDescent="0.2">
      <c r="A362" s="343"/>
      <c r="B362" s="203"/>
      <c r="C362" s="163"/>
      <c r="D362" s="176"/>
      <c r="E362" s="131">
        <v>2016</v>
      </c>
      <c r="F362" s="14"/>
      <c r="G362" s="16"/>
      <c r="H362" s="16"/>
      <c r="I362" s="16"/>
      <c r="J362" s="16"/>
      <c r="K362" s="176"/>
    </row>
    <row r="363" spans="1:11" x14ac:dyDescent="0.2">
      <c r="A363" s="343"/>
      <c r="B363" s="203"/>
      <c r="C363" s="163"/>
      <c r="D363" s="176"/>
      <c r="E363" s="131">
        <v>2017</v>
      </c>
      <c r="F363" s="14"/>
      <c r="G363" s="16"/>
      <c r="H363" s="16"/>
      <c r="I363" s="16"/>
      <c r="J363" s="16"/>
      <c r="K363" s="176"/>
    </row>
    <row r="364" spans="1:11" x14ac:dyDescent="0.2">
      <c r="A364" s="343"/>
      <c r="B364" s="203"/>
      <c r="C364" s="163"/>
      <c r="D364" s="176"/>
      <c r="E364" s="131">
        <v>2018</v>
      </c>
      <c r="F364" s="14"/>
      <c r="G364" s="16"/>
      <c r="H364" s="16"/>
      <c r="I364" s="16"/>
      <c r="J364" s="16"/>
      <c r="K364" s="176"/>
    </row>
    <row r="365" spans="1:11" x14ac:dyDescent="0.2">
      <c r="A365" s="343"/>
      <c r="B365" s="203"/>
      <c r="C365" s="163"/>
      <c r="D365" s="176"/>
      <c r="E365" s="131">
        <v>2019</v>
      </c>
      <c r="F365" s="14"/>
      <c r="G365" s="16"/>
      <c r="H365" s="16"/>
      <c r="I365" s="16"/>
      <c r="J365" s="16"/>
      <c r="K365" s="176"/>
    </row>
    <row r="366" spans="1:11" x14ac:dyDescent="0.2">
      <c r="A366" s="343"/>
      <c r="B366" s="203"/>
      <c r="C366" s="163"/>
      <c r="D366" s="176"/>
      <c r="E366" s="131">
        <v>2020</v>
      </c>
      <c r="F366" s="14"/>
      <c r="G366" s="16"/>
      <c r="H366" s="16"/>
      <c r="I366" s="16"/>
      <c r="J366" s="16"/>
      <c r="K366" s="176"/>
    </row>
    <row r="367" spans="1:11" x14ac:dyDescent="0.2">
      <c r="A367" s="343"/>
      <c r="B367" s="203"/>
      <c r="C367" s="164"/>
      <c r="D367" s="170"/>
      <c r="E367" s="26" t="s">
        <v>18</v>
      </c>
      <c r="F367" s="15">
        <f>SUM(F361:F366)</f>
        <v>260.60000000000002</v>
      </c>
      <c r="G367" s="16"/>
      <c r="H367" s="15">
        <f>H366+H365+H364+H363+H361+H362</f>
        <v>230</v>
      </c>
      <c r="I367" s="15">
        <f>SUM(I361:I366)</f>
        <v>30.6</v>
      </c>
      <c r="J367" s="16"/>
      <c r="K367" s="170"/>
    </row>
    <row r="368" spans="1:11" ht="15" customHeight="1" x14ac:dyDescent="0.2">
      <c r="A368" s="348" t="s">
        <v>162</v>
      </c>
      <c r="B368" s="213" t="s">
        <v>161</v>
      </c>
      <c r="C368" s="196" t="s">
        <v>263</v>
      </c>
      <c r="D368" s="176" t="s">
        <v>257</v>
      </c>
      <c r="E368" s="7">
        <v>2016</v>
      </c>
      <c r="F368" s="118">
        <f>G368+H368+I368</f>
        <v>445</v>
      </c>
      <c r="G368" s="119"/>
      <c r="H368" s="119"/>
      <c r="I368" s="118">
        <v>445</v>
      </c>
      <c r="J368" s="118"/>
      <c r="K368" s="176" t="s">
        <v>176</v>
      </c>
    </row>
    <row r="369" spans="1:35" ht="12.75" customHeight="1" x14ac:dyDescent="0.2">
      <c r="A369" s="348"/>
      <c r="B369" s="213"/>
      <c r="C369" s="196"/>
      <c r="D369" s="176"/>
      <c r="E369" s="131">
        <v>2017</v>
      </c>
      <c r="F369" s="54"/>
      <c r="G369" s="54"/>
      <c r="H369" s="54"/>
      <c r="I369" s="54"/>
      <c r="J369" s="30"/>
      <c r="K369" s="176"/>
    </row>
    <row r="370" spans="1:35" ht="15" customHeight="1" x14ac:dyDescent="0.2">
      <c r="A370" s="348"/>
      <c r="B370" s="213"/>
      <c r="C370" s="196"/>
      <c r="D370" s="176"/>
      <c r="E370" s="131">
        <v>2018</v>
      </c>
      <c r="F370" s="54"/>
      <c r="G370" s="54"/>
      <c r="H370" s="54"/>
      <c r="I370" s="54"/>
      <c r="J370" s="30"/>
      <c r="K370" s="176"/>
    </row>
    <row r="371" spans="1:35" ht="13.5" customHeight="1" x14ac:dyDescent="0.2">
      <c r="A371" s="348"/>
      <c r="B371" s="213"/>
      <c r="C371" s="196"/>
      <c r="D371" s="176"/>
      <c r="E371" s="131">
        <v>2019</v>
      </c>
      <c r="F371" s="54"/>
      <c r="G371" s="54"/>
      <c r="H371" s="54"/>
      <c r="I371" s="54"/>
      <c r="J371" s="30"/>
      <c r="K371" s="176"/>
    </row>
    <row r="372" spans="1:35" ht="12.75" customHeight="1" x14ac:dyDescent="0.2">
      <c r="A372" s="348"/>
      <c r="B372" s="213"/>
      <c r="C372" s="196"/>
      <c r="D372" s="176"/>
      <c r="E372" s="131">
        <v>2020</v>
      </c>
      <c r="F372" s="54"/>
      <c r="G372" s="54"/>
      <c r="H372" s="54"/>
      <c r="I372" s="54"/>
      <c r="J372" s="30"/>
      <c r="K372" s="176"/>
    </row>
    <row r="373" spans="1:35" ht="21" customHeight="1" thickBot="1" x14ac:dyDescent="0.25">
      <c r="A373" s="349"/>
      <c r="B373" s="168"/>
      <c r="C373" s="197"/>
      <c r="D373" s="170"/>
      <c r="E373" s="35" t="s">
        <v>18</v>
      </c>
      <c r="F373" s="54">
        <f>G373+H373+I373</f>
        <v>445</v>
      </c>
      <c r="G373" s="54"/>
      <c r="H373" s="54"/>
      <c r="I373" s="54">
        <f>SUM(I368:I372)</f>
        <v>445</v>
      </c>
      <c r="J373" s="30"/>
      <c r="K373" s="170"/>
    </row>
    <row r="374" spans="1:35" ht="26.25" thickBot="1" x14ac:dyDescent="0.25">
      <c r="A374" s="259" t="s">
        <v>222</v>
      </c>
      <c r="B374" s="260"/>
      <c r="C374" s="260"/>
      <c r="D374" s="261"/>
      <c r="E374" s="8" t="s">
        <v>75</v>
      </c>
      <c r="F374" s="19">
        <f>SUM(G374:J374)</f>
        <v>353735.6</v>
      </c>
      <c r="G374" s="21">
        <f>G338+G346+G353+G360</f>
        <v>0</v>
      </c>
      <c r="H374" s="19">
        <f>H338+H346+H353+H360+H329+H367</f>
        <v>230</v>
      </c>
      <c r="I374" s="19">
        <f>I338+I346+I353+I360+I329+I367+I373</f>
        <v>350290.6</v>
      </c>
      <c r="J374" s="21">
        <f>J338+J346+J353+J360+J329</f>
        <v>3215</v>
      </c>
      <c r="K374" s="8"/>
      <c r="L374" s="59"/>
      <c r="M374" s="59"/>
      <c r="N374" s="76"/>
    </row>
    <row r="375" spans="1:35" ht="32.25" customHeight="1" thickBot="1" x14ac:dyDescent="0.3">
      <c r="A375" s="146" t="s">
        <v>91</v>
      </c>
      <c r="B375" s="152"/>
      <c r="C375" s="152"/>
      <c r="D375" s="152"/>
      <c r="E375" s="152"/>
      <c r="F375" s="152"/>
      <c r="G375" s="152"/>
      <c r="H375" s="152"/>
      <c r="I375" s="152"/>
      <c r="J375" s="152"/>
      <c r="K375" s="152"/>
      <c r="L375" s="77"/>
      <c r="M375" s="77"/>
      <c r="N375" s="77"/>
      <c r="O375" s="77"/>
      <c r="P375" s="77"/>
      <c r="Q375" s="77"/>
      <c r="R375" s="77"/>
      <c r="S375" s="77"/>
      <c r="T375" s="77"/>
      <c r="U375" s="77"/>
      <c r="V375" s="77"/>
      <c r="W375" s="77"/>
      <c r="X375" s="77"/>
      <c r="Y375" s="77"/>
      <c r="Z375" s="77"/>
      <c r="AA375" s="77"/>
      <c r="AB375" s="77"/>
      <c r="AC375" s="77"/>
      <c r="AD375" s="77"/>
      <c r="AE375" s="77"/>
      <c r="AF375" s="77"/>
      <c r="AG375" s="77"/>
      <c r="AH375" s="77"/>
      <c r="AI375" s="78"/>
    </row>
    <row r="376" spans="1:35" ht="15" thickBot="1" x14ac:dyDescent="0.25">
      <c r="A376" s="347" t="s">
        <v>92</v>
      </c>
      <c r="B376" s="169"/>
      <c r="C376" s="169"/>
      <c r="D376" s="169"/>
      <c r="E376" s="169"/>
      <c r="F376" s="169"/>
      <c r="G376" s="169"/>
      <c r="H376" s="169"/>
      <c r="I376" s="169"/>
      <c r="J376" s="169"/>
      <c r="K376" s="169"/>
      <c r="L376" s="74"/>
      <c r="M376" s="74"/>
      <c r="N376" s="74"/>
      <c r="O376" s="74"/>
      <c r="P376" s="74"/>
      <c r="Q376" s="74"/>
      <c r="R376" s="74"/>
      <c r="S376" s="74"/>
      <c r="T376" s="74"/>
      <c r="U376" s="74"/>
      <c r="V376" s="74"/>
      <c r="W376" s="74"/>
      <c r="X376" s="74"/>
      <c r="Y376" s="74"/>
      <c r="Z376" s="74"/>
      <c r="AA376" s="74"/>
      <c r="AB376" s="74"/>
      <c r="AC376" s="74"/>
      <c r="AD376" s="74"/>
      <c r="AE376" s="74"/>
      <c r="AF376" s="74"/>
      <c r="AG376" s="74"/>
      <c r="AH376" s="74"/>
      <c r="AI376" s="75"/>
    </row>
    <row r="377" spans="1:35" ht="12.75" customHeight="1" x14ac:dyDescent="0.2">
      <c r="A377" s="353" t="s">
        <v>114</v>
      </c>
      <c r="B377" s="350" t="s">
        <v>203</v>
      </c>
      <c r="C377" s="183" t="s">
        <v>84</v>
      </c>
      <c r="D377" s="162" t="s">
        <v>257</v>
      </c>
      <c r="E377" s="131">
        <v>2015</v>
      </c>
      <c r="F377" s="99">
        <f t="shared" ref="F377:F382" si="19">SUM(G377:I377)</f>
        <v>25</v>
      </c>
      <c r="G377" s="16"/>
      <c r="H377" s="16"/>
      <c r="I377" s="16">
        <v>25</v>
      </c>
      <c r="J377" s="16"/>
      <c r="K377" s="162" t="s">
        <v>205</v>
      </c>
    </row>
    <row r="378" spans="1:35" x14ac:dyDescent="0.2">
      <c r="A378" s="354"/>
      <c r="B378" s="351"/>
      <c r="C378" s="163"/>
      <c r="D378" s="163"/>
      <c r="E378" s="131">
        <v>2016</v>
      </c>
      <c r="F378" s="99">
        <f t="shared" si="19"/>
        <v>26.3</v>
      </c>
      <c r="G378" s="16"/>
      <c r="H378" s="16"/>
      <c r="I378" s="16">
        <v>26.3</v>
      </c>
      <c r="J378" s="16"/>
      <c r="K378" s="176"/>
    </row>
    <row r="379" spans="1:35" x14ac:dyDescent="0.2">
      <c r="A379" s="354"/>
      <c r="B379" s="351"/>
      <c r="C379" s="163"/>
      <c r="D379" s="163"/>
      <c r="E379" s="131">
        <v>2017</v>
      </c>
      <c r="F379" s="99">
        <f t="shared" si="19"/>
        <v>27</v>
      </c>
      <c r="G379" s="16"/>
      <c r="H379" s="16"/>
      <c r="I379" s="16">
        <v>27</v>
      </c>
      <c r="J379" s="16"/>
      <c r="K379" s="176"/>
    </row>
    <row r="380" spans="1:35" x14ac:dyDescent="0.2">
      <c r="A380" s="354"/>
      <c r="B380" s="351"/>
      <c r="C380" s="163"/>
      <c r="D380" s="163"/>
      <c r="E380" s="131">
        <v>2018</v>
      </c>
      <c r="F380" s="99">
        <f t="shared" si="19"/>
        <v>27.9</v>
      </c>
      <c r="G380" s="16"/>
      <c r="H380" s="16"/>
      <c r="I380" s="16">
        <v>27.9</v>
      </c>
      <c r="J380" s="16"/>
      <c r="K380" s="176"/>
    </row>
    <row r="381" spans="1:35" x14ac:dyDescent="0.2">
      <c r="A381" s="354"/>
      <c r="B381" s="351"/>
      <c r="C381" s="163"/>
      <c r="D381" s="163"/>
      <c r="E381" s="131">
        <v>2019</v>
      </c>
      <c r="F381" s="99">
        <f t="shared" si="19"/>
        <v>29</v>
      </c>
      <c r="G381" s="16"/>
      <c r="H381" s="16"/>
      <c r="I381" s="16">
        <v>29</v>
      </c>
      <c r="J381" s="16"/>
      <c r="K381" s="176"/>
    </row>
    <row r="382" spans="1:35" x14ac:dyDescent="0.2">
      <c r="A382" s="354"/>
      <c r="B382" s="351"/>
      <c r="C382" s="163"/>
      <c r="D382" s="163"/>
      <c r="E382" s="131">
        <v>2020</v>
      </c>
      <c r="F382" s="99">
        <f t="shared" si="19"/>
        <v>30</v>
      </c>
      <c r="G382" s="15"/>
      <c r="H382" s="15"/>
      <c r="I382" s="16">
        <v>30</v>
      </c>
      <c r="J382" s="15"/>
      <c r="K382" s="176"/>
    </row>
    <row r="383" spans="1:35" ht="13.5" thickBot="1" x14ac:dyDescent="0.25">
      <c r="A383" s="355"/>
      <c r="B383" s="352"/>
      <c r="C383" s="184"/>
      <c r="D383" s="164"/>
      <c r="E383" s="26" t="s">
        <v>18</v>
      </c>
      <c r="F383" s="22">
        <f>SUM(F377:F382)</f>
        <v>165.2</v>
      </c>
      <c r="G383" s="15"/>
      <c r="H383" s="15"/>
      <c r="I383" s="15">
        <f>SUM(I377:I382)</f>
        <v>165.2</v>
      </c>
      <c r="J383" s="15"/>
      <c r="K383" s="176"/>
    </row>
    <row r="384" spans="1:35" x14ac:dyDescent="0.2">
      <c r="A384" s="353" t="s">
        <v>83</v>
      </c>
      <c r="B384" s="350" t="s">
        <v>268</v>
      </c>
      <c r="C384" s="183" t="s">
        <v>84</v>
      </c>
      <c r="D384" s="162" t="s">
        <v>257</v>
      </c>
      <c r="E384" s="131">
        <v>2015</v>
      </c>
      <c r="F384" s="99">
        <f t="shared" ref="F384:F389" si="20">SUM(G384:I384)</f>
        <v>15</v>
      </c>
      <c r="G384" s="16"/>
      <c r="H384" s="16"/>
      <c r="I384" s="16">
        <v>15</v>
      </c>
      <c r="J384" s="16"/>
      <c r="K384" s="176"/>
    </row>
    <row r="385" spans="1:11" x14ac:dyDescent="0.2">
      <c r="A385" s="354"/>
      <c r="B385" s="351"/>
      <c r="C385" s="163"/>
      <c r="D385" s="163"/>
      <c r="E385" s="131">
        <v>2016</v>
      </c>
      <c r="F385" s="99">
        <f t="shared" si="20"/>
        <v>16</v>
      </c>
      <c r="G385" s="16"/>
      <c r="H385" s="16"/>
      <c r="I385" s="16">
        <v>16</v>
      </c>
      <c r="J385" s="16"/>
      <c r="K385" s="176"/>
    </row>
    <row r="386" spans="1:11" x14ac:dyDescent="0.2">
      <c r="A386" s="354"/>
      <c r="B386" s="351"/>
      <c r="C386" s="163"/>
      <c r="D386" s="163"/>
      <c r="E386" s="131">
        <v>2017</v>
      </c>
      <c r="F386" s="99">
        <f t="shared" si="20"/>
        <v>18</v>
      </c>
      <c r="G386" s="16"/>
      <c r="H386" s="16"/>
      <c r="I386" s="16">
        <v>18</v>
      </c>
      <c r="J386" s="16"/>
      <c r="K386" s="176"/>
    </row>
    <row r="387" spans="1:11" x14ac:dyDescent="0.2">
      <c r="A387" s="354"/>
      <c r="B387" s="351"/>
      <c r="C387" s="163"/>
      <c r="D387" s="163"/>
      <c r="E387" s="131">
        <v>2018</v>
      </c>
      <c r="F387" s="99">
        <f t="shared" si="20"/>
        <v>19.5</v>
      </c>
      <c r="G387" s="16"/>
      <c r="H387" s="16"/>
      <c r="I387" s="16">
        <v>19.5</v>
      </c>
      <c r="J387" s="16"/>
      <c r="K387" s="176"/>
    </row>
    <row r="388" spans="1:11" x14ac:dyDescent="0.2">
      <c r="A388" s="354"/>
      <c r="B388" s="351"/>
      <c r="C388" s="163"/>
      <c r="D388" s="163"/>
      <c r="E388" s="131">
        <v>2019</v>
      </c>
      <c r="F388" s="99">
        <f t="shared" si="20"/>
        <v>20.5</v>
      </c>
      <c r="G388" s="16"/>
      <c r="H388" s="16"/>
      <c r="I388" s="16">
        <v>20.5</v>
      </c>
      <c r="J388" s="16"/>
      <c r="K388" s="176"/>
    </row>
    <row r="389" spans="1:11" x14ac:dyDescent="0.2">
      <c r="A389" s="354"/>
      <c r="B389" s="351"/>
      <c r="C389" s="163"/>
      <c r="D389" s="163"/>
      <c r="E389" s="131">
        <v>2020</v>
      </c>
      <c r="F389" s="99">
        <f t="shared" si="20"/>
        <v>22</v>
      </c>
      <c r="G389" s="15"/>
      <c r="H389" s="15"/>
      <c r="I389" s="16">
        <v>22</v>
      </c>
      <c r="J389" s="15"/>
      <c r="K389" s="176"/>
    </row>
    <row r="390" spans="1:11" ht="13.5" thickBot="1" x14ac:dyDescent="0.25">
      <c r="A390" s="355"/>
      <c r="B390" s="352"/>
      <c r="C390" s="184"/>
      <c r="D390" s="164"/>
      <c r="E390" s="26" t="s">
        <v>18</v>
      </c>
      <c r="F390" s="22">
        <f>SUM(F384:F389)</f>
        <v>111</v>
      </c>
      <c r="G390" s="15"/>
      <c r="H390" s="15"/>
      <c r="I390" s="15">
        <f>SUM(I384:I389)</f>
        <v>111</v>
      </c>
      <c r="J390" s="15"/>
      <c r="K390" s="170"/>
    </row>
    <row r="391" spans="1:11" ht="14.25" x14ac:dyDescent="0.2">
      <c r="A391" s="146" t="s">
        <v>93</v>
      </c>
      <c r="B391" s="152"/>
      <c r="C391" s="152"/>
      <c r="D391" s="152"/>
      <c r="E391" s="152"/>
      <c r="F391" s="152"/>
      <c r="G391" s="152"/>
      <c r="H391" s="152"/>
      <c r="I391" s="152"/>
      <c r="J391" s="152"/>
      <c r="K391" s="152"/>
    </row>
    <row r="392" spans="1:11" x14ac:dyDescent="0.2">
      <c r="A392" s="360" t="s">
        <v>53</v>
      </c>
      <c r="B392" s="363" t="s">
        <v>170</v>
      </c>
      <c r="C392" s="183" t="s">
        <v>84</v>
      </c>
      <c r="D392" s="162" t="s">
        <v>257</v>
      </c>
      <c r="E392" s="131">
        <v>2015</v>
      </c>
      <c r="F392" s="99">
        <f t="shared" ref="F392:F397" si="21">SUM(G392:I392)</f>
        <v>10</v>
      </c>
      <c r="G392" s="16"/>
      <c r="H392" s="16"/>
      <c r="I392" s="16">
        <v>10</v>
      </c>
      <c r="J392" s="16"/>
      <c r="K392" s="162" t="s">
        <v>204</v>
      </c>
    </row>
    <row r="393" spans="1:11" x14ac:dyDescent="0.2">
      <c r="A393" s="361"/>
      <c r="B393" s="192"/>
      <c r="C393" s="163"/>
      <c r="D393" s="163"/>
      <c r="E393" s="131">
        <v>2016</v>
      </c>
      <c r="F393" s="99">
        <f t="shared" si="21"/>
        <v>11</v>
      </c>
      <c r="G393" s="16"/>
      <c r="H393" s="16"/>
      <c r="I393" s="16">
        <v>11</v>
      </c>
      <c r="J393" s="16"/>
      <c r="K393" s="176"/>
    </row>
    <row r="394" spans="1:11" x14ac:dyDescent="0.2">
      <c r="A394" s="361"/>
      <c r="B394" s="192"/>
      <c r="C394" s="163"/>
      <c r="D394" s="163"/>
      <c r="E394" s="131">
        <v>2017</v>
      </c>
      <c r="F394" s="99">
        <f t="shared" si="21"/>
        <v>12</v>
      </c>
      <c r="G394" s="16"/>
      <c r="H394" s="16"/>
      <c r="I394" s="16">
        <v>12</v>
      </c>
      <c r="J394" s="16"/>
      <c r="K394" s="176"/>
    </row>
    <row r="395" spans="1:11" x14ac:dyDescent="0.2">
      <c r="A395" s="361"/>
      <c r="B395" s="192"/>
      <c r="C395" s="163"/>
      <c r="D395" s="163"/>
      <c r="E395" s="131">
        <v>2018</v>
      </c>
      <c r="F395" s="99">
        <f t="shared" si="21"/>
        <v>13</v>
      </c>
      <c r="G395" s="16"/>
      <c r="H395" s="16"/>
      <c r="I395" s="16">
        <v>13</v>
      </c>
      <c r="J395" s="16"/>
      <c r="K395" s="176"/>
    </row>
    <row r="396" spans="1:11" x14ac:dyDescent="0.2">
      <c r="A396" s="361"/>
      <c r="B396" s="192"/>
      <c r="C396" s="163"/>
      <c r="D396" s="163"/>
      <c r="E396" s="131">
        <v>2019</v>
      </c>
      <c r="F396" s="99">
        <f t="shared" si="21"/>
        <v>14</v>
      </c>
      <c r="G396" s="16"/>
      <c r="H396" s="16"/>
      <c r="I396" s="16">
        <v>14</v>
      </c>
      <c r="J396" s="16"/>
      <c r="K396" s="176"/>
    </row>
    <row r="397" spans="1:11" x14ac:dyDescent="0.2">
      <c r="A397" s="361"/>
      <c r="B397" s="192"/>
      <c r="C397" s="163"/>
      <c r="D397" s="163"/>
      <c r="E397" s="131">
        <v>2020</v>
      </c>
      <c r="F397" s="99">
        <f t="shared" si="21"/>
        <v>15</v>
      </c>
      <c r="G397" s="16"/>
      <c r="H397" s="16"/>
      <c r="I397" s="16">
        <v>15</v>
      </c>
      <c r="J397" s="16"/>
      <c r="K397" s="176"/>
    </row>
    <row r="398" spans="1:11" ht="18" customHeight="1" thickBot="1" x14ac:dyDescent="0.25">
      <c r="A398" s="362"/>
      <c r="B398" s="166"/>
      <c r="C398" s="163"/>
      <c r="D398" s="163"/>
      <c r="E398" s="35" t="s">
        <v>18</v>
      </c>
      <c r="F398" s="19">
        <f>SUM(F392:F397)</f>
        <v>75</v>
      </c>
      <c r="G398" s="54"/>
      <c r="H398" s="54"/>
      <c r="I398" s="54">
        <f>SUM(I392:I397)</f>
        <v>75</v>
      </c>
      <c r="J398" s="30"/>
      <c r="K398" s="176"/>
    </row>
    <row r="399" spans="1:11" ht="26.25" thickBot="1" x14ac:dyDescent="0.25">
      <c r="A399" s="356" t="s">
        <v>234</v>
      </c>
      <c r="B399" s="357"/>
      <c r="C399" s="357"/>
      <c r="D399" s="357"/>
      <c r="E399" s="122" t="s">
        <v>75</v>
      </c>
      <c r="F399" s="123">
        <f>F383+F398+F390</f>
        <v>351.2</v>
      </c>
      <c r="G399" s="123">
        <f>G383+G398+G390</f>
        <v>0</v>
      </c>
      <c r="H399" s="123">
        <f>H383+H398+H390</f>
        <v>0</v>
      </c>
      <c r="I399" s="123">
        <f>I383+I398+I390</f>
        <v>351.2</v>
      </c>
      <c r="J399" s="124"/>
      <c r="K399" s="125"/>
    </row>
    <row r="400" spans="1:11" ht="15" thickBot="1" x14ac:dyDescent="0.25">
      <c r="A400" s="155" t="s">
        <v>235</v>
      </c>
      <c r="B400" s="358"/>
      <c r="C400" s="358"/>
      <c r="D400" s="358"/>
      <c r="E400" s="358"/>
      <c r="F400" s="358"/>
      <c r="G400" s="358"/>
      <c r="H400" s="358"/>
      <c r="I400" s="358"/>
      <c r="J400" s="358"/>
      <c r="K400" s="359"/>
    </row>
    <row r="401" spans="1:11" ht="14.25" x14ac:dyDescent="0.2">
      <c r="A401" s="364" t="s">
        <v>94</v>
      </c>
      <c r="B401" s="365"/>
      <c r="C401" s="365"/>
      <c r="D401" s="365"/>
      <c r="E401" s="366"/>
      <c r="F401" s="366"/>
      <c r="G401" s="366"/>
      <c r="H401" s="366"/>
      <c r="I401" s="366"/>
      <c r="J401" s="366"/>
      <c r="K401" s="367"/>
    </row>
    <row r="402" spans="1:11" x14ac:dyDescent="0.2">
      <c r="A402" s="368" t="s">
        <v>95</v>
      </c>
      <c r="B402" s="151" t="s">
        <v>96</v>
      </c>
      <c r="C402" s="183" t="s">
        <v>84</v>
      </c>
      <c r="D402" s="162" t="s">
        <v>257</v>
      </c>
      <c r="E402" s="131">
        <v>2015</v>
      </c>
      <c r="F402" s="99">
        <f t="shared" ref="F402:F407" si="22">SUM(G402:I402)</f>
        <v>50</v>
      </c>
      <c r="G402" s="16"/>
      <c r="H402" s="16"/>
      <c r="I402" s="16">
        <v>50</v>
      </c>
      <c r="J402" s="16"/>
      <c r="K402" s="162" t="s">
        <v>207</v>
      </c>
    </row>
    <row r="403" spans="1:11" x14ac:dyDescent="0.2">
      <c r="A403" s="369"/>
      <c r="B403" s="152"/>
      <c r="C403" s="163"/>
      <c r="D403" s="163"/>
      <c r="E403" s="131">
        <v>2016</v>
      </c>
      <c r="F403" s="99">
        <f t="shared" si="22"/>
        <v>60</v>
      </c>
      <c r="G403" s="16"/>
      <c r="H403" s="16"/>
      <c r="I403" s="16">
        <v>60</v>
      </c>
      <c r="J403" s="16"/>
      <c r="K403" s="176"/>
    </row>
    <row r="404" spans="1:11" x14ac:dyDescent="0.2">
      <c r="A404" s="369"/>
      <c r="B404" s="152"/>
      <c r="C404" s="163"/>
      <c r="D404" s="163"/>
      <c r="E404" s="131">
        <v>2017</v>
      </c>
      <c r="F404" s="99">
        <f t="shared" si="22"/>
        <v>70</v>
      </c>
      <c r="G404" s="16"/>
      <c r="H404" s="16"/>
      <c r="I404" s="16">
        <v>70</v>
      </c>
      <c r="J404" s="16"/>
      <c r="K404" s="176"/>
    </row>
    <row r="405" spans="1:11" x14ac:dyDescent="0.2">
      <c r="A405" s="369"/>
      <c r="B405" s="152"/>
      <c r="C405" s="163"/>
      <c r="D405" s="163"/>
      <c r="E405" s="131">
        <v>2018</v>
      </c>
      <c r="F405" s="99">
        <f t="shared" si="22"/>
        <v>80</v>
      </c>
      <c r="G405" s="16"/>
      <c r="H405" s="16"/>
      <c r="I405" s="16">
        <v>80</v>
      </c>
      <c r="J405" s="16"/>
      <c r="K405" s="176"/>
    </row>
    <row r="406" spans="1:11" x14ac:dyDescent="0.2">
      <c r="A406" s="369"/>
      <c r="B406" s="152"/>
      <c r="C406" s="163"/>
      <c r="D406" s="163"/>
      <c r="E406" s="131">
        <v>2019</v>
      </c>
      <c r="F406" s="99">
        <f t="shared" si="22"/>
        <v>90</v>
      </c>
      <c r="G406" s="16"/>
      <c r="H406" s="16"/>
      <c r="I406" s="16">
        <v>90</v>
      </c>
      <c r="J406" s="16"/>
      <c r="K406" s="176"/>
    </row>
    <row r="407" spans="1:11" x14ac:dyDescent="0.2">
      <c r="A407" s="369"/>
      <c r="B407" s="152"/>
      <c r="C407" s="163"/>
      <c r="D407" s="163"/>
      <c r="E407" s="131">
        <v>2020</v>
      </c>
      <c r="F407" s="99">
        <f t="shared" si="22"/>
        <v>100</v>
      </c>
      <c r="G407" s="16"/>
      <c r="H407" s="16"/>
      <c r="I407" s="16">
        <v>100</v>
      </c>
      <c r="J407" s="16"/>
      <c r="K407" s="176"/>
    </row>
    <row r="408" spans="1:11" ht="13.5" thickBot="1" x14ac:dyDescent="0.25">
      <c r="A408" s="369"/>
      <c r="B408" s="169"/>
      <c r="C408" s="184"/>
      <c r="D408" s="164"/>
      <c r="E408" s="35" t="s">
        <v>18</v>
      </c>
      <c r="F408" s="22">
        <f>SUM(F402:F407)</f>
        <v>450</v>
      </c>
      <c r="G408" s="15"/>
      <c r="H408" s="15"/>
      <c r="I408" s="15">
        <f>SUM(I402:I407)</f>
        <v>450</v>
      </c>
      <c r="J408" s="16"/>
      <c r="K408" s="176"/>
    </row>
    <row r="409" spans="1:11" x14ac:dyDescent="0.2">
      <c r="A409" s="368" t="s">
        <v>97</v>
      </c>
      <c r="B409" s="151" t="s">
        <v>98</v>
      </c>
      <c r="C409" s="183" t="s">
        <v>84</v>
      </c>
      <c r="D409" s="162" t="s">
        <v>257</v>
      </c>
      <c r="E409" s="131">
        <v>2015</v>
      </c>
      <c r="F409" s="83">
        <f t="shared" ref="F409:F414" si="23">SUM(G409:I409)</f>
        <v>150</v>
      </c>
      <c r="G409" s="16"/>
      <c r="H409" s="16"/>
      <c r="I409" s="16">
        <v>150</v>
      </c>
      <c r="J409" s="16"/>
      <c r="K409" s="176"/>
    </row>
    <row r="410" spans="1:11" x14ac:dyDescent="0.2">
      <c r="A410" s="369"/>
      <c r="B410" s="151"/>
      <c r="C410" s="163"/>
      <c r="D410" s="163"/>
      <c r="E410" s="131">
        <v>2016</v>
      </c>
      <c r="F410" s="83">
        <f t="shared" si="23"/>
        <v>180</v>
      </c>
      <c r="G410" s="16"/>
      <c r="H410" s="16"/>
      <c r="I410" s="16">
        <v>180</v>
      </c>
      <c r="J410" s="16"/>
      <c r="K410" s="176"/>
    </row>
    <row r="411" spans="1:11" x14ac:dyDescent="0.2">
      <c r="A411" s="369"/>
      <c r="B411" s="151"/>
      <c r="C411" s="163"/>
      <c r="D411" s="163"/>
      <c r="E411" s="131">
        <v>2017</v>
      </c>
      <c r="F411" s="83">
        <f t="shared" si="23"/>
        <v>220</v>
      </c>
      <c r="G411" s="16"/>
      <c r="H411" s="16"/>
      <c r="I411" s="16">
        <v>220</v>
      </c>
      <c r="J411" s="16"/>
      <c r="K411" s="176"/>
    </row>
    <row r="412" spans="1:11" x14ac:dyDescent="0.2">
      <c r="A412" s="369"/>
      <c r="B412" s="151"/>
      <c r="C412" s="163"/>
      <c r="D412" s="163"/>
      <c r="E412" s="131">
        <v>2018</v>
      </c>
      <c r="F412" s="83">
        <f t="shared" si="23"/>
        <v>240</v>
      </c>
      <c r="G412" s="16"/>
      <c r="H412" s="16"/>
      <c r="I412" s="16">
        <v>240</v>
      </c>
      <c r="J412" s="16"/>
      <c r="K412" s="176"/>
    </row>
    <row r="413" spans="1:11" x14ac:dyDescent="0.2">
      <c r="A413" s="369"/>
      <c r="B413" s="151"/>
      <c r="C413" s="163"/>
      <c r="D413" s="163"/>
      <c r="E413" s="131">
        <v>2019</v>
      </c>
      <c r="F413" s="83">
        <f t="shared" si="23"/>
        <v>260</v>
      </c>
      <c r="G413" s="16"/>
      <c r="H413" s="16"/>
      <c r="I413" s="16">
        <v>260</v>
      </c>
      <c r="J413" s="16"/>
      <c r="K413" s="176"/>
    </row>
    <row r="414" spans="1:11" x14ac:dyDescent="0.2">
      <c r="A414" s="369"/>
      <c r="B414" s="151"/>
      <c r="C414" s="163"/>
      <c r="D414" s="163"/>
      <c r="E414" s="131">
        <v>2020</v>
      </c>
      <c r="F414" s="83">
        <f t="shared" si="23"/>
        <v>270</v>
      </c>
      <c r="G414" s="16"/>
      <c r="H414" s="16"/>
      <c r="I414" s="16">
        <v>270</v>
      </c>
      <c r="J414" s="16"/>
      <c r="K414" s="176"/>
    </row>
    <row r="415" spans="1:11" ht="32.25" customHeight="1" thickBot="1" x14ac:dyDescent="0.25">
      <c r="A415" s="369"/>
      <c r="B415" s="169"/>
      <c r="C415" s="184"/>
      <c r="D415" s="164"/>
      <c r="E415" s="26" t="s">
        <v>18</v>
      </c>
      <c r="F415" s="105">
        <f>SUM(F409:F414)</f>
        <v>1320</v>
      </c>
      <c r="G415" s="15"/>
      <c r="H415" s="15"/>
      <c r="I415" s="15">
        <f>SUM(I409:I414)</f>
        <v>1320</v>
      </c>
      <c r="J415" s="16"/>
      <c r="K415" s="176"/>
    </row>
    <row r="416" spans="1:11" x14ac:dyDescent="0.2">
      <c r="A416" s="368" t="s">
        <v>99</v>
      </c>
      <c r="B416" s="151" t="s">
        <v>206</v>
      </c>
      <c r="C416" s="183" t="s">
        <v>84</v>
      </c>
      <c r="D416" s="162" t="s">
        <v>257</v>
      </c>
      <c r="E416" s="131">
        <v>2015</v>
      </c>
      <c r="F416" s="83">
        <f t="shared" ref="F416:F421" si="24">SUM(G416:I416)</f>
        <v>55</v>
      </c>
      <c r="G416" s="16"/>
      <c r="H416" s="16"/>
      <c r="I416" s="16">
        <v>55</v>
      </c>
      <c r="J416" s="16"/>
      <c r="K416" s="176"/>
    </row>
    <row r="417" spans="1:11" x14ac:dyDescent="0.2">
      <c r="A417" s="369"/>
      <c r="B417" s="151"/>
      <c r="C417" s="163"/>
      <c r="D417" s="163"/>
      <c r="E417" s="131">
        <v>2016</v>
      </c>
      <c r="F417" s="83">
        <f t="shared" si="24"/>
        <v>60</v>
      </c>
      <c r="G417" s="16"/>
      <c r="H417" s="16"/>
      <c r="I417" s="16">
        <v>60</v>
      </c>
      <c r="J417" s="16"/>
      <c r="K417" s="176"/>
    </row>
    <row r="418" spans="1:11" x14ac:dyDescent="0.2">
      <c r="A418" s="369"/>
      <c r="B418" s="151"/>
      <c r="C418" s="163"/>
      <c r="D418" s="163"/>
      <c r="E418" s="131">
        <v>2017</v>
      </c>
      <c r="F418" s="83">
        <f t="shared" si="24"/>
        <v>65</v>
      </c>
      <c r="G418" s="16"/>
      <c r="H418" s="16"/>
      <c r="I418" s="16">
        <v>65</v>
      </c>
      <c r="J418" s="16"/>
      <c r="K418" s="176"/>
    </row>
    <row r="419" spans="1:11" x14ac:dyDescent="0.2">
      <c r="A419" s="369"/>
      <c r="B419" s="151"/>
      <c r="C419" s="163"/>
      <c r="D419" s="163"/>
      <c r="E419" s="131">
        <v>2018</v>
      </c>
      <c r="F419" s="83">
        <f t="shared" si="24"/>
        <v>70</v>
      </c>
      <c r="G419" s="16"/>
      <c r="H419" s="16"/>
      <c r="I419" s="16">
        <v>70</v>
      </c>
      <c r="J419" s="16"/>
      <c r="K419" s="176"/>
    </row>
    <row r="420" spans="1:11" x14ac:dyDescent="0.2">
      <c r="A420" s="369"/>
      <c r="B420" s="151"/>
      <c r="C420" s="163"/>
      <c r="D420" s="163"/>
      <c r="E420" s="131">
        <v>2019</v>
      </c>
      <c r="F420" s="83">
        <f t="shared" si="24"/>
        <v>75</v>
      </c>
      <c r="G420" s="16"/>
      <c r="H420" s="16"/>
      <c r="I420" s="16">
        <v>75</v>
      </c>
      <c r="J420" s="16"/>
      <c r="K420" s="176"/>
    </row>
    <row r="421" spans="1:11" x14ac:dyDescent="0.2">
      <c r="A421" s="369"/>
      <c r="B421" s="151"/>
      <c r="C421" s="163"/>
      <c r="D421" s="163"/>
      <c r="E421" s="131">
        <v>2020</v>
      </c>
      <c r="F421" s="83">
        <f t="shared" si="24"/>
        <v>80</v>
      </c>
      <c r="G421" s="16"/>
      <c r="H421" s="16"/>
      <c r="I421" s="16">
        <v>80</v>
      </c>
      <c r="J421" s="16"/>
      <c r="K421" s="176"/>
    </row>
    <row r="422" spans="1:11" ht="13.5" thickBot="1" x14ac:dyDescent="0.25">
      <c r="A422" s="369"/>
      <c r="B422" s="212"/>
      <c r="C422" s="184"/>
      <c r="D422" s="164"/>
      <c r="E422" s="26" t="s">
        <v>18</v>
      </c>
      <c r="F422" s="23">
        <f>SUM(F416:F421)</f>
        <v>405</v>
      </c>
      <c r="G422" s="15"/>
      <c r="H422" s="15"/>
      <c r="I422" s="15">
        <f>SUM(I416:I421)</f>
        <v>405</v>
      </c>
      <c r="J422" s="16"/>
      <c r="K422" s="170"/>
    </row>
    <row r="423" spans="1:11" x14ac:dyDescent="0.2">
      <c r="A423" s="368" t="s">
        <v>100</v>
      </c>
      <c r="B423" s="151" t="s">
        <v>101</v>
      </c>
      <c r="C423" s="183" t="s">
        <v>84</v>
      </c>
      <c r="D423" s="162" t="s">
        <v>257</v>
      </c>
      <c r="E423" s="131">
        <v>2015</v>
      </c>
      <c r="F423" s="83">
        <f t="shared" ref="F423:F428" si="25">SUM(G423:I423)</f>
        <v>50</v>
      </c>
      <c r="G423" s="16"/>
      <c r="H423" s="16"/>
      <c r="I423" s="16">
        <v>50</v>
      </c>
      <c r="J423" s="16"/>
      <c r="K423" s="162" t="s">
        <v>208</v>
      </c>
    </row>
    <row r="424" spans="1:11" x14ac:dyDescent="0.2">
      <c r="A424" s="369"/>
      <c r="B424" s="152"/>
      <c r="C424" s="163"/>
      <c r="D424" s="163"/>
      <c r="E424" s="131">
        <v>2016</v>
      </c>
      <c r="F424" s="83">
        <f t="shared" si="25"/>
        <v>55</v>
      </c>
      <c r="G424" s="16"/>
      <c r="H424" s="16"/>
      <c r="I424" s="16">
        <v>55</v>
      </c>
      <c r="J424" s="16"/>
      <c r="K424" s="176"/>
    </row>
    <row r="425" spans="1:11" x14ac:dyDescent="0.2">
      <c r="A425" s="369"/>
      <c r="B425" s="152"/>
      <c r="C425" s="163"/>
      <c r="D425" s="163"/>
      <c r="E425" s="131">
        <v>2017</v>
      </c>
      <c r="F425" s="83">
        <f t="shared" si="25"/>
        <v>60</v>
      </c>
      <c r="G425" s="16"/>
      <c r="H425" s="16"/>
      <c r="I425" s="16">
        <v>60</v>
      </c>
      <c r="J425" s="16"/>
      <c r="K425" s="176"/>
    </row>
    <row r="426" spans="1:11" x14ac:dyDescent="0.2">
      <c r="A426" s="369"/>
      <c r="B426" s="152"/>
      <c r="C426" s="163"/>
      <c r="D426" s="163"/>
      <c r="E426" s="131">
        <v>2018</v>
      </c>
      <c r="F426" s="83">
        <f t="shared" si="25"/>
        <v>65</v>
      </c>
      <c r="G426" s="16"/>
      <c r="H426" s="16"/>
      <c r="I426" s="16">
        <v>65</v>
      </c>
      <c r="J426" s="16"/>
      <c r="K426" s="176"/>
    </row>
    <row r="427" spans="1:11" x14ac:dyDescent="0.2">
      <c r="A427" s="369"/>
      <c r="B427" s="152"/>
      <c r="C427" s="163"/>
      <c r="D427" s="163"/>
      <c r="E427" s="131">
        <v>2019</v>
      </c>
      <c r="F427" s="83">
        <f t="shared" si="25"/>
        <v>70</v>
      </c>
      <c r="G427" s="16"/>
      <c r="H427" s="16"/>
      <c r="I427" s="16">
        <v>70</v>
      </c>
      <c r="J427" s="16"/>
      <c r="K427" s="176"/>
    </row>
    <row r="428" spans="1:11" x14ac:dyDescent="0.2">
      <c r="A428" s="369"/>
      <c r="B428" s="152"/>
      <c r="C428" s="163"/>
      <c r="D428" s="163"/>
      <c r="E428" s="131">
        <v>2020</v>
      </c>
      <c r="F428" s="83">
        <f t="shared" si="25"/>
        <v>75</v>
      </c>
      <c r="G428" s="16"/>
      <c r="H428" s="16"/>
      <c r="I428" s="16">
        <v>75</v>
      </c>
      <c r="J428" s="16"/>
      <c r="K428" s="176"/>
    </row>
    <row r="429" spans="1:11" ht="13.5" thickBot="1" x14ac:dyDescent="0.25">
      <c r="A429" s="369"/>
      <c r="B429" s="152"/>
      <c r="C429" s="184"/>
      <c r="D429" s="164"/>
      <c r="E429" s="26" t="s">
        <v>18</v>
      </c>
      <c r="F429" s="23">
        <f>SUM(F423:F428)</f>
        <v>375</v>
      </c>
      <c r="G429" s="16"/>
      <c r="H429" s="16"/>
      <c r="I429" s="15">
        <f>SUM(I423:I428)</f>
        <v>375</v>
      </c>
      <c r="J429" s="16"/>
      <c r="K429" s="170"/>
    </row>
    <row r="430" spans="1:11" ht="16.5" customHeight="1" thickBot="1" x14ac:dyDescent="0.25">
      <c r="A430" s="165" t="s">
        <v>236</v>
      </c>
      <c r="B430" s="166"/>
      <c r="C430" s="166"/>
      <c r="D430" s="166"/>
      <c r="E430" s="8" t="s">
        <v>75</v>
      </c>
      <c r="F430" s="19">
        <f>F408+F415+F422+F429</f>
        <v>2550</v>
      </c>
      <c r="G430" s="19">
        <f>G408+G415+G422+G429</f>
        <v>0</v>
      </c>
      <c r="H430" s="19">
        <f>H408+H415+H422+H429</f>
        <v>0</v>
      </c>
      <c r="I430" s="19">
        <f>I408+I415+I422+I429</f>
        <v>2550</v>
      </c>
      <c r="J430" s="21"/>
      <c r="K430" s="8"/>
    </row>
    <row r="431" spans="1:11" ht="15" thickBot="1" x14ac:dyDescent="0.25">
      <c r="A431" s="155" t="s">
        <v>237</v>
      </c>
      <c r="B431" s="358"/>
      <c r="C431" s="358"/>
      <c r="D431" s="358"/>
      <c r="E431" s="358"/>
      <c r="F431" s="358"/>
      <c r="G431" s="358"/>
      <c r="H431" s="358"/>
      <c r="I431" s="358"/>
      <c r="J431" s="358"/>
      <c r="K431" s="359"/>
    </row>
    <row r="432" spans="1:11" ht="14.25" x14ac:dyDescent="0.2">
      <c r="A432" s="364" t="s">
        <v>102</v>
      </c>
      <c r="B432" s="365"/>
      <c r="C432" s="365"/>
      <c r="D432" s="365"/>
      <c r="E432" s="366"/>
      <c r="F432" s="366"/>
      <c r="G432" s="366"/>
      <c r="H432" s="366"/>
      <c r="I432" s="366"/>
      <c r="J432" s="366"/>
      <c r="K432" s="367"/>
    </row>
    <row r="433" spans="1:35" ht="12.75" customHeight="1" x14ac:dyDescent="0.2">
      <c r="A433" s="372" t="s">
        <v>120</v>
      </c>
      <c r="B433" s="266" t="s">
        <v>103</v>
      </c>
      <c r="C433" s="183" t="s">
        <v>84</v>
      </c>
      <c r="D433" s="162" t="s">
        <v>257</v>
      </c>
      <c r="E433" s="131">
        <v>2015</v>
      </c>
      <c r="F433" s="83">
        <f t="shared" ref="F433:F438" si="26">SUM(G433:I433)</f>
        <v>3623.3</v>
      </c>
      <c r="G433" s="16"/>
      <c r="H433" s="16">
        <f>3817-230</f>
        <v>3587</v>
      </c>
      <c r="I433" s="16">
        <f>38.6-2.3</f>
        <v>36.300000000000004</v>
      </c>
      <c r="J433" s="16"/>
      <c r="K433" s="162" t="s">
        <v>209</v>
      </c>
    </row>
    <row r="434" spans="1:35" x14ac:dyDescent="0.2">
      <c r="A434" s="373"/>
      <c r="B434" s="210"/>
      <c r="C434" s="163"/>
      <c r="D434" s="163"/>
      <c r="E434" s="131">
        <v>2016</v>
      </c>
      <c r="F434" s="83">
        <f t="shared" si="26"/>
        <v>27.8</v>
      </c>
      <c r="G434" s="16"/>
      <c r="H434" s="16">
        <v>0</v>
      </c>
      <c r="I434" s="16">
        <v>27.8</v>
      </c>
      <c r="J434" s="16"/>
      <c r="K434" s="176"/>
    </row>
    <row r="435" spans="1:35" x14ac:dyDescent="0.2">
      <c r="A435" s="373"/>
      <c r="B435" s="210"/>
      <c r="C435" s="163"/>
      <c r="D435" s="163"/>
      <c r="E435" s="131">
        <v>2017</v>
      </c>
      <c r="F435" s="83">
        <f t="shared" si="26"/>
        <v>2767.6</v>
      </c>
      <c r="G435" s="16"/>
      <c r="H435" s="16">
        <v>2740</v>
      </c>
      <c r="I435" s="16">
        <v>27.6</v>
      </c>
      <c r="J435" s="16"/>
      <c r="K435" s="176"/>
    </row>
    <row r="436" spans="1:35" x14ac:dyDescent="0.2">
      <c r="A436" s="373"/>
      <c r="B436" s="210"/>
      <c r="C436" s="163"/>
      <c r="D436" s="163"/>
      <c r="E436" s="131">
        <v>2018</v>
      </c>
      <c r="F436" s="83">
        <f t="shared" si="26"/>
        <v>1621.2</v>
      </c>
      <c r="G436" s="16"/>
      <c r="H436" s="16">
        <v>1605</v>
      </c>
      <c r="I436" s="16">
        <v>16.2</v>
      </c>
      <c r="J436" s="16"/>
      <c r="K436" s="176"/>
    </row>
    <row r="437" spans="1:35" x14ac:dyDescent="0.2">
      <c r="A437" s="373"/>
      <c r="B437" s="210"/>
      <c r="C437" s="163"/>
      <c r="D437" s="163"/>
      <c r="E437" s="131">
        <v>2019</v>
      </c>
      <c r="F437" s="83">
        <f t="shared" si="26"/>
        <v>1483.8</v>
      </c>
      <c r="G437" s="16"/>
      <c r="H437" s="16">
        <v>1469</v>
      </c>
      <c r="I437" s="16">
        <v>14.8</v>
      </c>
      <c r="J437" s="16"/>
      <c r="K437" s="176"/>
    </row>
    <row r="438" spans="1:35" x14ac:dyDescent="0.2">
      <c r="A438" s="373"/>
      <c r="B438" s="210"/>
      <c r="C438" s="163"/>
      <c r="D438" s="163"/>
      <c r="E438" s="131">
        <v>2020</v>
      </c>
      <c r="F438" s="83">
        <f t="shared" si="26"/>
        <v>1613.1</v>
      </c>
      <c r="G438" s="16"/>
      <c r="H438" s="16">
        <v>1597</v>
      </c>
      <c r="I438" s="16">
        <v>16.100000000000001</v>
      </c>
      <c r="J438" s="16"/>
      <c r="K438" s="176"/>
    </row>
    <row r="439" spans="1:35" ht="13.5" thickBot="1" x14ac:dyDescent="0.25">
      <c r="A439" s="374"/>
      <c r="B439" s="210"/>
      <c r="C439" s="184"/>
      <c r="D439" s="164"/>
      <c r="E439" s="26" t="s">
        <v>18</v>
      </c>
      <c r="F439" s="23">
        <f>SUM(F433:F438)</f>
        <v>11136.800000000001</v>
      </c>
      <c r="G439" s="15"/>
      <c r="H439" s="15">
        <f>SUM(H433:H438)</f>
        <v>10998</v>
      </c>
      <c r="I439" s="15">
        <f>SUM(I433:I438)</f>
        <v>138.80000000000001</v>
      </c>
      <c r="J439" s="16"/>
      <c r="K439" s="170"/>
    </row>
    <row r="440" spans="1:35" ht="26.25" thickBot="1" x14ac:dyDescent="0.25">
      <c r="A440" s="165" t="s">
        <v>238</v>
      </c>
      <c r="B440" s="166"/>
      <c r="C440" s="166"/>
      <c r="D440" s="166"/>
      <c r="E440" s="8" t="s">
        <v>75</v>
      </c>
      <c r="F440" s="23">
        <f>SUM(F433:F438)</f>
        <v>11136.800000000001</v>
      </c>
      <c r="G440" s="21"/>
      <c r="H440" s="15">
        <f>SUM(H433:H438)</f>
        <v>10998</v>
      </c>
      <c r="I440" s="15">
        <f>SUM(I433:I438)</f>
        <v>138.80000000000001</v>
      </c>
      <c r="J440" s="21"/>
      <c r="K440" s="8"/>
    </row>
    <row r="441" spans="1:35" ht="47.25" x14ac:dyDescent="0.25">
      <c r="A441" s="259" t="s">
        <v>240</v>
      </c>
      <c r="B441" s="370"/>
      <c r="C441" s="370"/>
      <c r="D441" s="371"/>
      <c r="E441" s="104" t="s">
        <v>75</v>
      </c>
      <c r="F441" s="104" t="s">
        <v>18</v>
      </c>
      <c r="G441" s="106" t="s">
        <v>10</v>
      </c>
      <c r="H441" s="107" t="s">
        <v>11</v>
      </c>
      <c r="I441" s="107" t="s">
        <v>12</v>
      </c>
      <c r="J441" s="107" t="s">
        <v>13</v>
      </c>
      <c r="K441" s="61"/>
      <c r="L441" s="79"/>
      <c r="M441" s="79"/>
      <c r="N441" s="79"/>
    </row>
    <row r="442" spans="1:35" ht="15.75" x14ac:dyDescent="0.25">
      <c r="A442" s="137"/>
      <c r="B442" s="138"/>
      <c r="C442" s="138"/>
      <c r="D442" s="139"/>
      <c r="E442" s="110"/>
      <c r="F442" s="25">
        <f>SUM(G442:J442)</f>
        <v>367773.6</v>
      </c>
      <c r="G442" s="25"/>
      <c r="H442" s="13">
        <f>H440+H430+H399+H374+H329</f>
        <v>11228</v>
      </c>
      <c r="I442" s="13">
        <f>I440+I430+I399+I374</f>
        <v>353330.6</v>
      </c>
      <c r="J442" s="13">
        <f>J440+J430+J399+J374</f>
        <v>3215</v>
      </c>
      <c r="K442" s="61"/>
      <c r="L442" s="45"/>
      <c r="M442" s="45"/>
      <c r="N442" s="45"/>
    </row>
    <row r="443" spans="1:35" ht="18.75" customHeight="1" thickBot="1" x14ac:dyDescent="0.25">
      <c r="A443" s="410" t="s">
        <v>241</v>
      </c>
      <c r="B443" s="411"/>
      <c r="C443" s="411"/>
      <c r="D443" s="411"/>
      <c r="E443" s="411"/>
      <c r="F443" s="411"/>
      <c r="G443" s="411"/>
      <c r="H443" s="411"/>
      <c r="I443" s="411"/>
      <c r="J443" s="411"/>
      <c r="K443" s="412"/>
      <c r="L443" s="80"/>
      <c r="M443" s="80"/>
      <c r="N443" s="80"/>
    </row>
    <row r="444" spans="1:35" ht="30" customHeight="1" x14ac:dyDescent="0.2">
      <c r="A444" s="146" t="s">
        <v>242</v>
      </c>
      <c r="B444" s="169"/>
      <c r="C444" s="169"/>
      <c r="D444" s="169"/>
      <c r="E444" s="152"/>
      <c r="F444" s="152"/>
      <c r="G444" s="152"/>
      <c r="H444" s="152"/>
      <c r="I444" s="152"/>
      <c r="J444" s="152"/>
      <c r="K444" s="152"/>
      <c r="L444" s="81"/>
      <c r="M444" s="81"/>
      <c r="N444" s="81"/>
      <c r="O444" s="81"/>
      <c r="P444" s="81"/>
      <c r="Q444" s="81"/>
      <c r="R444" s="81"/>
      <c r="S444" s="81"/>
      <c r="T444" s="81"/>
      <c r="U444" s="81"/>
      <c r="V444" s="81"/>
      <c r="W444" s="81"/>
      <c r="X444" s="81"/>
      <c r="Y444" s="81"/>
      <c r="Z444" s="81"/>
      <c r="AA444" s="81"/>
      <c r="AB444" s="81"/>
      <c r="AC444" s="81"/>
      <c r="AD444" s="81"/>
      <c r="AE444" s="81"/>
      <c r="AF444" s="81"/>
      <c r="AG444" s="81"/>
      <c r="AH444" s="81"/>
      <c r="AI444" s="82"/>
    </row>
    <row r="445" spans="1:35" x14ac:dyDescent="0.2">
      <c r="A445" s="342" t="s">
        <v>129</v>
      </c>
      <c r="B445" s="375" t="s">
        <v>104</v>
      </c>
      <c r="C445" s="183" t="s">
        <v>84</v>
      </c>
      <c r="D445" s="162" t="s">
        <v>257</v>
      </c>
      <c r="E445" s="131">
        <v>2015</v>
      </c>
      <c r="F445" s="83">
        <f t="shared" ref="F445:F450" si="27">SUM(G445:J445)</f>
        <v>1923.3999999999999</v>
      </c>
      <c r="G445" s="16"/>
      <c r="H445" s="16">
        <f>2020.6-97.2</f>
        <v>1923.3999999999999</v>
      </c>
      <c r="I445" s="16"/>
      <c r="J445" s="16"/>
      <c r="K445" s="162" t="s">
        <v>210</v>
      </c>
    </row>
    <row r="446" spans="1:35" x14ac:dyDescent="0.2">
      <c r="A446" s="343"/>
      <c r="B446" s="145"/>
      <c r="C446" s="163"/>
      <c r="D446" s="163"/>
      <c r="E446" s="131">
        <v>2016</v>
      </c>
      <c r="F446" s="83">
        <f t="shared" si="27"/>
        <v>2072.6</v>
      </c>
      <c r="G446" s="16"/>
      <c r="H446" s="16">
        <v>2072.6</v>
      </c>
      <c r="I446" s="16"/>
      <c r="J446" s="16"/>
      <c r="K446" s="176"/>
    </row>
    <row r="447" spans="1:35" x14ac:dyDescent="0.2">
      <c r="A447" s="343"/>
      <c r="B447" s="145"/>
      <c r="C447" s="163"/>
      <c r="D447" s="163"/>
      <c r="E447" s="131">
        <v>2017</v>
      </c>
      <c r="F447" s="83">
        <f t="shared" si="27"/>
        <v>2206.6</v>
      </c>
      <c r="G447" s="16"/>
      <c r="H447" s="16">
        <v>2206.6</v>
      </c>
      <c r="I447" s="16"/>
      <c r="J447" s="16"/>
      <c r="K447" s="176"/>
    </row>
    <row r="448" spans="1:35" x14ac:dyDescent="0.2">
      <c r="A448" s="343"/>
      <c r="B448" s="145"/>
      <c r="C448" s="163"/>
      <c r="D448" s="163"/>
      <c r="E448" s="131">
        <v>2018</v>
      </c>
      <c r="F448" s="83">
        <f t="shared" si="27"/>
        <v>2121.8000000000002</v>
      </c>
      <c r="G448" s="16"/>
      <c r="H448" s="16">
        <v>2121.8000000000002</v>
      </c>
      <c r="I448" s="16"/>
      <c r="J448" s="16"/>
      <c r="K448" s="176"/>
    </row>
    <row r="449" spans="1:11" x14ac:dyDescent="0.2">
      <c r="A449" s="343"/>
      <c r="B449" s="145"/>
      <c r="C449" s="163"/>
      <c r="D449" s="163"/>
      <c r="E449" s="131">
        <v>2019</v>
      </c>
      <c r="F449" s="83">
        <f t="shared" si="27"/>
        <v>2238.5</v>
      </c>
      <c r="G449" s="16"/>
      <c r="H449" s="16">
        <v>2238.5</v>
      </c>
      <c r="I449" s="16"/>
      <c r="J449" s="16"/>
      <c r="K449" s="176"/>
    </row>
    <row r="450" spans="1:11" x14ac:dyDescent="0.2">
      <c r="A450" s="343"/>
      <c r="B450" s="145"/>
      <c r="C450" s="163"/>
      <c r="D450" s="163"/>
      <c r="E450" s="131">
        <v>2020</v>
      </c>
      <c r="F450" s="83">
        <f t="shared" si="27"/>
        <v>2350.4</v>
      </c>
      <c r="G450" s="16"/>
      <c r="H450" s="16">
        <v>2350.4</v>
      </c>
      <c r="I450" s="16"/>
      <c r="J450" s="16"/>
      <c r="K450" s="176"/>
    </row>
    <row r="451" spans="1:11" ht="18.75" customHeight="1" x14ac:dyDescent="0.2">
      <c r="A451" s="343"/>
      <c r="B451" s="145"/>
      <c r="C451" s="164"/>
      <c r="D451" s="164"/>
      <c r="E451" s="26" t="s">
        <v>18</v>
      </c>
      <c r="F451" s="23">
        <f>SUM(F445:F450)</f>
        <v>12913.300000000001</v>
      </c>
      <c r="G451" s="15"/>
      <c r="H451" s="15">
        <f>SUM(H445:H450)</f>
        <v>12913.300000000001</v>
      </c>
      <c r="I451" s="16"/>
      <c r="J451" s="16"/>
      <c r="K451" s="176"/>
    </row>
    <row r="452" spans="1:11" x14ac:dyDescent="0.2">
      <c r="A452" s="342" t="s">
        <v>131</v>
      </c>
      <c r="B452" s="266" t="s">
        <v>105</v>
      </c>
      <c r="C452" s="183" t="s">
        <v>84</v>
      </c>
      <c r="D452" s="162" t="s">
        <v>257</v>
      </c>
      <c r="E452" s="131">
        <v>2015</v>
      </c>
      <c r="F452" s="83">
        <f t="shared" ref="F452:F457" si="28">SUM(G452:J452)</f>
        <v>759.90000000000009</v>
      </c>
      <c r="G452" s="16"/>
      <c r="H452" s="16">
        <f>783-27.3+4.2</f>
        <v>759.90000000000009</v>
      </c>
      <c r="I452" s="16"/>
      <c r="J452" s="16"/>
      <c r="K452" s="176"/>
    </row>
    <row r="453" spans="1:11" x14ac:dyDescent="0.2">
      <c r="A453" s="343"/>
      <c r="B453" s="192"/>
      <c r="C453" s="163"/>
      <c r="D453" s="163"/>
      <c r="E453" s="131">
        <v>2016</v>
      </c>
      <c r="F453" s="83">
        <f t="shared" si="28"/>
        <v>753.4</v>
      </c>
      <c r="G453" s="16"/>
      <c r="H453" s="16">
        <v>753.4</v>
      </c>
      <c r="I453" s="16"/>
      <c r="J453" s="16"/>
      <c r="K453" s="176"/>
    </row>
    <row r="454" spans="1:11" x14ac:dyDescent="0.2">
      <c r="A454" s="343"/>
      <c r="B454" s="192"/>
      <c r="C454" s="163"/>
      <c r="D454" s="163"/>
      <c r="E454" s="131">
        <v>2017</v>
      </c>
      <c r="F454" s="83">
        <f t="shared" si="28"/>
        <v>855</v>
      </c>
      <c r="G454" s="16"/>
      <c r="H454" s="16">
        <v>855</v>
      </c>
      <c r="I454" s="16"/>
      <c r="J454" s="16"/>
      <c r="K454" s="176"/>
    </row>
    <row r="455" spans="1:11" x14ac:dyDescent="0.2">
      <c r="A455" s="343"/>
      <c r="B455" s="192"/>
      <c r="C455" s="163"/>
      <c r="D455" s="163"/>
      <c r="E455" s="131">
        <v>2018</v>
      </c>
      <c r="F455" s="83">
        <f t="shared" si="28"/>
        <v>737.6</v>
      </c>
      <c r="G455" s="16"/>
      <c r="H455" s="16">
        <v>737.6</v>
      </c>
      <c r="I455" s="16"/>
      <c r="J455" s="16"/>
      <c r="K455" s="176"/>
    </row>
    <row r="456" spans="1:11" x14ac:dyDescent="0.2">
      <c r="A456" s="343"/>
      <c r="B456" s="192"/>
      <c r="C456" s="163"/>
      <c r="D456" s="163"/>
      <c r="E456" s="131">
        <v>2019</v>
      </c>
      <c r="F456" s="83">
        <f t="shared" si="28"/>
        <v>778.2</v>
      </c>
      <c r="G456" s="16"/>
      <c r="H456" s="16">
        <v>778.2</v>
      </c>
      <c r="I456" s="16"/>
      <c r="J456" s="16"/>
      <c r="K456" s="176"/>
    </row>
    <row r="457" spans="1:11" x14ac:dyDescent="0.2">
      <c r="A457" s="343"/>
      <c r="B457" s="192"/>
      <c r="C457" s="163"/>
      <c r="D457" s="163"/>
      <c r="E457" s="131">
        <v>2020</v>
      </c>
      <c r="F457" s="83">
        <f t="shared" si="28"/>
        <v>817.1</v>
      </c>
      <c r="G457" s="16"/>
      <c r="H457" s="16">
        <v>817.1</v>
      </c>
      <c r="I457" s="16"/>
      <c r="J457" s="16"/>
      <c r="K457" s="176"/>
    </row>
    <row r="458" spans="1:11" x14ac:dyDescent="0.2">
      <c r="A458" s="343"/>
      <c r="B458" s="166"/>
      <c r="C458" s="163"/>
      <c r="D458" s="164"/>
      <c r="E458" s="26" t="s">
        <v>18</v>
      </c>
      <c r="F458" s="23">
        <f>SUM(F452:F457)</f>
        <v>4701.2000000000007</v>
      </c>
      <c r="G458" s="15"/>
      <c r="H458" s="15">
        <f>SUM(H452:H457)</f>
        <v>4701.2000000000007</v>
      </c>
      <c r="I458" s="15"/>
      <c r="J458" s="15"/>
      <c r="K458" s="176"/>
    </row>
    <row r="459" spans="1:11" x14ac:dyDescent="0.2">
      <c r="A459" s="342" t="s">
        <v>133</v>
      </c>
      <c r="B459" s="266" t="s">
        <v>106</v>
      </c>
      <c r="C459" s="183" t="s">
        <v>84</v>
      </c>
      <c r="D459" s="162" t="s">
        <v>257</v>
      </c>
      <c r="E459" s="131">
        <v>2015</v>
      </c>
      <c r="F459" s="83">
        <f t="shared" ref="F459:F464" si="29">SUM(G459:J459)</f>
        <v>285</v>
      </c>
      <c r="G459" s="16"/>
      <c r="H459" s="16"/>
      <c r="I459" s="16">
        <v>285</v>
      </c>
      <c r="J459" s="16"/>
      <c r="K459" s="176"/>
    </row>
    <row r="460" spans="1:11" x14ac:dyDescent="0.2">
      <c r="A460" s="343"/>
      <c r="B460" s="192"/>
      <c r="C460" s="163"/>
      <c r="D460" s="163"/>
      <c r="E460" s="131">
        <v>2016</v>
      </c>
      <c r="F460" s="83">
        <f t="shared" si="29"/>
        <v>281.39999999999998</v>
      </c>
      <c r="G460" s="16"/>
      <c r="H460" s="16"/>
      <c r="I460" s="16">
        <v>281.39999999999998</v>
      </c>
      <c r="J460" s="16"/>
      <c r="K460" s="176"/>
    </row>
    <row r="461" spans="1:11" x14ac:dyDescent="0.2">
      <c r="A461" s="343"/>
      <c r="B461" s="192"/>
      <c r="C461" s="163"/>
      <c r="D461" s="163"/>
      <c r="E461" s="131">
        <v>2017</v>
      </c>
      <c r="F461" s="83">
        <f t="shared" si="29"/>
        <v>0</v>
      </c>
      <c r="G461" s="16"/>
      <c r="H461" s="16"/>
      <c r="I461" s="16"/>
      <c r="J461" s="16"/>
      <c r="K461" s="176"/>
    </row>
    <row r="462" spans="1:11" x14ac:dyDescent="0.2">
      <c r="A462" s="343"/>
      <c r="B462" s="192"/>
      <c r="C462" s="163"/>
      <c r="D462" s="163"/>
      <c r="E462" s="131">
        <v>2018</v>
      </c>
      <c r="F462" s="83">
        <f t="shared" si="29"/>
        <v>272.7</v>
      </c>
      <c r="G462" s="16"/>
      <c r="H462" s="16"/>
      <c r="I462" s="16">
        <v>272.7</v>
      </c>
      <c r="J462" s="16"/>
      <c r="K462" s="176"/>
    </row>
    <row r="463" spans="1:11" x14ac:dyDescent="0.2">
      <c r="A463" s="343"/>
      <c r="B463" s="192"/>
      <c r="C463" s="163"/>
      <c r="D463" s="163"/>
      <c r="E463" s="131">
        <v>2019</v>
      </c>
      <c r="F463" s="83">
        <f t="shared" si="29"/>
        <v>267.5</v>
      </c>
      <c r="G463" s="16"/>
      <c r="H463" s="16"/>
      <c r="I463" s="16">
        <v>267.5</v>
      </c>
      <c r="J463" s="16"/>
      <c r="K463" s="176"/>
    </row>
    <row r="464" spans="1:11" x14ac:dyDescent="0.2">
      <c r="A464" s="343"/>
      <c r="B464" s="192"/>
      <c r="C464" s="163"/>
      <c r="D464" s="163"/>
      <c r="E464" s="131">
        <v>2020</v>
      </c>
      <c r="F464" s="83">
        <f t="shared" si="29"/>
        <v>261.8</v>
      </c>
      <c r="G464" s="16"/>
      <c r="H464" s="16"/>
      <c r="I464" s="16">
        <v>261.8</v>
      </c>
      <c r="J464" s="16"/>
      <c r="K464" s="176"/>
    </row>
    <row r="465" spans="1:35" ht="60.75" customHeight="1" x14ac:dyDescent="0.2">
      <c r="A465" s="343"/>
      <c r="B465" s="166"/>
      <c r="C465" s="163"/>
      <c r="D465" s="164"/>
      <c r="E465" s="26" t="s">
        <v>18</v>
      </c>
      <c r="F465" s="23">
        <f>SUM(F459:F464)</f>
        <v>1368.3999999999999</v>
      </c>
      <c r="G465" s="15"/>
      <c r="H465" s="15"/>
      <c r="I465" s="15">
        <f>SUM(I459:I464)</f>
        <v>1368.3999999999999</v>
      </c>
      <c r="J465" s="15"/>
      <c r="K465" s="176"/>
    </row>
    <row r="466" spans="1:35" x14ac:dyDescent="0.2">
      <c r="A466" s="342" t="s">
        <v>135</v>
      </c>
      <c r="B466" s="151" t="s">
        <v>107</v>
      </c>
      <c r="C466" s="183" t="s">
        <v>84</v>
      </c>
      <c r="D466" s="162" t="s">
        <v>257</v>
      </c>
      <c r="E466" s="131">
        <v>2015</v>
      </c>
      <c r="F466" s="83">
        <f t="shared" ref="F466:F471" si="30">SUM(G466:I466)</f>
        <v>7143.2</v>
      </c>
      <c r="G466" s="16"/>
      <c r="H466" s="16">
        <f>7797.5+70.5-920.2-88.1</f>
        <v>6859.7</v>
      </c>
      <c r="I466" s="16">
        <v>283.5</v>
      </c>
      <c r="J466" s="16"/>
      <c r="K466" s="176"/>
    </row>
    <row r="467" spans="1:35" x14ac:dyDescent="0.2">
      <c r="A467" s="343"/>
      <c r="B467" s="152"/>
      <c r="C467" s="163"/>
      <c r="D467" s="163"/>
      <c r="E467" s="131">
        <v>2016</v>
      </c>
      <c r="F467" s="83">
        <f t="shared" si="30"/>
        <v>9457.6999999999989</v>
      </c>
      <c r="G467" s="16"/>
      <c r="H467" s="16">
        <v>9160.9</v>
      </c>
      <c r="I467" s="16">
        <v>296.8</v>
      </c>
      <c r="J467" s="16"/>
      <c r="K467" s="176"/>
    </row>
    <row r="468" spans="1:35" x14ac:dyDescent="0.2">
      <c r="A468" s="343"/>
      <c r="B468" s="152"/>
      <c r="C468" s="163"/>
      <c r="D468" s="163"/>
      <c r="E468" s="131">
        <v>2017</v>
      </c>
      <c r="F468" s="83">
        <f t="shared" si="30"/>
        <v>8824.5</v>
      </c>
      <c r="G468" s="16"/>
      <c r="H468" s="16">
        <v>8514.9</v>
      </c>
      <c r="I468" s="16">
        <v>309.60000000000002</v>
      </c>
      <c r="J468" s="16"/>
      <c r="K468" s="176"/>
    </row>
    <row r="469" spans="1:35" x14ac:dyDescent="0.2">
      <c r="A469" s="343"/>
      <c r="B469" s="152"/>
      <c r="C469" s="163"/>
      <c r="D469" s="163"/>
      <c r="E469" s="131">
        <v>2018</v>
      </c>
      <c r="F469" s="83">
        <f t="shared" si="30"/>
        <v>12141</v>
      </c>
      <c r="G469" s="16"/>
      <c r="H469" s="16">
        <v>12080</v>
      </c>
      <c r="I469" s="16">
        <v>61</v>
      </c>
      <c r="J469" s="16"/>
      <c r="K469" s="176"/>
    </row>
    <row r="470" spans="1:35" x14ac:dyDescent="0.2">
      <c r="A470" s="343"/>
      <c r="B470" s="152"/>
      <c r="C470" s="163"/>
      <c r="D470" s="163"/>
      <c r="E470" s="131">
        <v>2019</v>
      </c>
      <c r="F470" s="83">
        <f t="shared" si="30"/>
        <v>12787.4</v>
      </c>
      <c r="G470" s="16"/>
      <c r="H470" s="16">
        <v>12723</v>
      </c>
      <c r="I470" s="16">
        <v>64.400000000000006</v>
      </c>
      <c r="J470" s="16"/>
      <c r="K470" s="176"/>
    </row>
    <row r="471" spans="1:35" x14ac:dyDescent="0.2">
      <c r="A471" s="343"/>
      <c r="B471" s="152"/>
      <c r="C471" s="163"/>
      <c r="D471" s="163"/>
      <c r="E471" s="131">
        <v>2020</v>
      </c>
      <c r="F471" s="83">
        <f t="shared" si="30"/>
        <v>13426.2</v>
      </c>
      <c r="G471" s="16"/>
      <c r="H471" s="16">
        <v>13359</v>
      </c>
      <c r="I471" s="16">
        <v>67.2</v>
      </c>
      <c r="J471" s="16"/>
      <c r="K471" s="176"/>
    </row>
    <row r="472" spans="1:35" ht="35.25" customHeight="1" x14ac:dyDescent="0.2">
      <c r="A472" s="343"/>
      <c r="B472" s="152"/>
      <c r="C472" s="163"/>
      <c r="D472" s="164"/>
      <c r="E472" s="26" t="s">
        <v>18</v>
      </c>
      <c r="F472" s="23">
        <f>SUM(F466:F471)</f>
        <v>63780</v>
      </c>
      <c r="G472" s="15"/>
      <c r="H472" s="15">
        <f>SUM(H466:H471)</f>
        <v>62697.5</v>
      </c>
      <c r="I472" s="15">
        <f>SUM(I466:I471)</f>
        <v>1082.5</v>
      </c>
      <c r="J472" s="16"/>
      <c r="K472" s="170"/>
    </row>
    <row r="473" spans="1:35" ht="26.25" thickBot="1" x14ac:dyDescent="0.25">
      <c r="A473" s="185" t="s">
        <v>243</v>
      </c>
      <c r="B473" s="192"/>
      <c r="C473" s="192"/>
      <c r="D473" s="192"/>
      <c r="E473" s="65" t="s">
        <v>75</v>
      </c>
      <c r="F473" s="22">
        <f>F451+F458+F465+F472</f>
        <v>82762.899999999994</v>
      </c>
      <c r="G473" s="22">
        <f>G451+G458+G465+G472</f>
        <v>0</v>
      </c>
      <c r="H473" s="22">
        <f>H451+H458+H465+H472</f>
        <v>80312</v>
      </c>
      <c r="I473" s="22">
        <f>I451+I458+I465+I472</f>
        <v>2450.8999999999996</v>
      </c>
      <c r="J473" s="20"/>
      <c r="K473" s="65"/>
    </row>
    <row r="474" spans="1:35" ht="27" customHeight="1" thickBot="1" x14ac:dyDescent="0.25">
      <c r="A474" s="155" t="s">
        <v>244</v>
      </c>
      <c r="B474" s="358"/>
      <c r="C474" s="358"/>
      <c r="D474" s="358"/>
      <c r="E474" s="358"/>
      <c r="F474" s="358"/>
      <c r="G474" s="358"/>
      <c r="H474" s="358"/>
      <c r="I474" s="358"/>
      <c r="J474" s="358"/>
      <c r="K474" s="359"/>
      <c r="L474" s="74"/>
      <c r="M474" s="74"/>
      <c r="N474" s="74"/>
      <c r="O474" s="74"/>
      <c r="P474" s="74"/>
      <c r="Q474" s="74"/>
      <c r="R474" s="74"/>
      <c r="S474" s="74"/>
      <c r="T474" s="74"/>
      <c r="U474" s="74"/>
      <c r="V474" s="74"/>
      <c r="W474" s="74"/>
      <c r="X474" s="74"/>
      <c r="Y474" s="74"/>
      <c r="Z474" s="74"/>
      <c r="AA474" s="74"/>
      <c r="AB474" s="74"/>
      <c r="AC474" s="74"/>
      <c r="AD474" s="74"/>
      <c r="AE474" s="74"/>
      <c r="AF474" s="74"/>
      <c r="AG474" s="74"/>
      <c r="AH474" s="74"/>
      <c r="AI474" s="75"/>
    </row>
    <row r="475" spans="1:35" ht="15" thickBot="1" x14ac:dyDescent="0.25">
      <c r="A475" s="155" t="s">
        <v>245</v>
      </c>
      <c r="B475" s="358"/>
      <c r="C475" s="358"/>
      <c r="D475" s="358"/>
      <c r="E475" s="358"/>
      <c r="F475" s="358"/>
      <c r="G475" s="358"/>
      <c r="H475" s="358"/>
      <c r="I475" s="358"/>
      <c r="J475" s="358"/>
      <c r="K475" s="359"/>
    </row>
    <row r="476" spans="1:35" x14ac:dyDescent="0.2">
      <c r="A476" s="342" t="s">
        <v>79</v>
      </c>
      <c r="B476" s="151" t="s">
        <v>108</v>
      </c>
      <c r="C476" s="153" t="s">
        <v>75</v>
      </c>
      <c r="D476" s="257" t="s">
        <v>257</v>
      </c>
      <c r="E476" s="131">
        <v>2015</v>
      </c>
      <c r="F476" s="83">
        <f t="shared" ref="F476:F481" si="31">SUM(G476:I476)</f>
        <v>45</v>
      </c>
      <c r="G476" s="16"/>
      <c r="H476" s="16"/>
      <c r="I476" s="16">
        <v>45</v>
      </c>
      <c r="J476" s="16"/>
      <c r="K476" s="257" t="s">
        <v>211</v>
      </c>
    </row>
    <row r="477" spans="1:35" x14ac:dyDescent="0.2">
      <c r="A477" s="343"/>
      <c r="B477" s="152"/>
      <c r="C477" s="154"/>
      <c r="D477" s="163"/>
      <c r="E477" s="131">
        <v>2016</v>
      </c>
      <c r="F477" s="83">
        <f t="shared" si="31"/>
        <v>47</v>
      </c>
      <c r="G477" s="16"/>
      <c r="H477" s="16"/>
      <c r="I477" s="16">
        <v>47</v>
      </c>
      <c r="J477" s="16"/>
      <c r="K477" s="176"/>
    </row>
    <row r="478" spans="1:35" x14ac:dyDescent="0.2">
      <c r="A478" s="343"/>
      <c r="B478" s="152"/>
      <c r="C478" s="154"/>
      <c r="D478" s="163"/>
      <c r="E478" s="131">
        <v>2017</v>
      </c>
      <c r="F478" s="83">
        <f t="shared" si="31"/>
        <v>0</v>
      </c>
      <c r="G478" s="16"/>
      <c r="H478" s="16"/>
      <c r="I478" s="16"/>
      <c r="J478" s="16"/>
      <c r="K478" s="176"/>
    </row>
    <row r="479" spans="1:35" x14ac:dyDescent="0.2">
      <c r="A479" s="343"/>
      <c r="B479" s="152"/>
      <c r="C479" s="154"/>
      <c r="D479" s="163"/>
      <c r="E479" s="131">
        <v>2018</v>
      </c>
      <c r="F479" s="83">
        <f t="shared" si="31"/>
        <v>51</v>
      </c>
      <c r="G479" s="16"/>
      <c r="H479" s="16"/>
      <c r="I479" s="16">
        <v>51</v>
      </c>
      <c r="J479" s="16"/>
      <c r="K479" s="176"/>
    </row>
    <row r="480" spans="1:35" x14ac:dyDescent="0.2">
      <c r="A480" s="343"/>
      <c r="B480" s="152"/>
      <c r="C480" s="154"/>
      <c r="D480" s="163"/>
      <c r="E480" s="131">
        <v>2019</v>
      </c>
      <c r="F480" s="83">
        <f t="shared" si="31"/>
        <v>53</v>
      </c>
      <c r="G480" s="16"/>
      <c r="H480" s="16"/>
      <c r="I480" s="16">
        <v>53</v>
      </c>
      <c r="J480" s="16"/>
      <c r="K480" s="176"/>
    </row>
    <row r="481" spans="1:11" x14ac:dyDescent="0.2">
      <c r="A481" s="343"/>
      <c r="B481" s="152"/>
      <c r="C481" s="154"/>
      <c r="D481" s="163"/>
      <c r="E481" s="131">
        <v>2020</v>
      </c>
      <c r="F481" s="83">
        <f t="shared" si="31"/>
        <v>55</v>
      </c>
      <c r="G481" s="16"/>
      <c r="H481" s="16"/>
      <c r="I481" s="16">
        <v>55</v>
      </c>
      <c r="J481" s="16"/>
      <c r="K481" s="176"/>
    </row>
    <row r="482" spans="1:11" x14ac:dyDescent="0.2">
      <c r="A482" s="343"/>
      <c r="B482" s="152"/>
      <c r="C482" s="154"/>
      <c r="D482" s="164"/>
      <c r="E482" s="26" t="s">
        <v>18</v>
      </c>
      <c r="F482" s="23">
        <f>SUM(F476:F481)</f>
        <v>251</v>
      </c>
      <c r="G482" s="15"/>
      <c r="H482" s="15"/>
      <c r="I482" s="15">
        <f>SUM(I476:I481)</f>
        <v>251</v>
      </c>
      <c r="J482" s="16"/>
      <c r="K482" s="170"/>
    </row>
    <row r="483" spans="1:11" x14ac:dyDescent="0.2">
      <c r="A483" s="149" t="s">
        <v>88</v>
      </c>
      <c r="B483" s="151" t="s">
        <v>109</v>
      </c>
      <c r="C483" s="153" t="s">
        <v>75</v>
      </c>
      <c r="D483" s="162" t="s">
        <v>257</v>
      </c>
      <c r="E483" s="131">
        <v>2015</v>
      </c>
      <c r="F483" s="83">
        <f t="shared" ref="F483:F488" si="32">I483</f>
        <v>12</v>
      </c>
      <c r="G483" s="16"/>
      <c r="H483" s="16"/>
      <c r="I483" s="16">
        <v>12</v>
      </c>
      <c r="J483" s="16"/>
      <c r="K483" s="162" t="s">
        <v>212</v>
      </c>
    </row>
    <row r="484" spans="1:11" x14ac:dyDescent="0.2">
      <c r="A484" s="150"/>
      <c r="B484" s="152"/>
      <c r="C484" s="154"/>
      <c r="D484" s="163"/>
      <c r="E484" s="131">
        <v>2016</v>
      </c>
      <c r="F484" s="83">
        <f t="shared" si="32"/>
        <v>12.5</v>
      </c>
      <c r="G484" s="16"/>
      <c r="H484" s="16"/>
      <c r="I484" s="16">
        <v>12.5</v>
      </c>
      <c r="J484" s="16"/>
      <c r="K484" s="176"/>
    </row>
    <row r="485" spans="1:11" x14ac:dyDescent="0.2">
      <c r="A485" s="150"/>
      <c r="B485" s="152"/>
      <c r="C485" s="154"/>
      <c r="D485" s="163"/>
      <c r="E485" s="131">
        <v>2017</v>
      </c>
      <c r="F485" s="83">
        <f t="shared" si="32"/>
        <v>0</v>
      </c>
      <c r="G485" s="16"/>
      <c r="H485" s="16"/>
      <c r="I485" s="16"/>
      <c r="J485" s="16"/>
      <c r="K485" s="176"/>
    </row>
    <row r="486" spans="1:11" x14ac:dyDescent="0.2">
      <c r="A486" s="150"/>
      <c r="B486" s="152"/>
      <c r="C486" s="154"/>
      <c r="D486" s="163"/>
      <c r="E486" s="131">
        <v>2018</v>
      </c>
      <c r="F486" s="83">
        <f t="shared" si="32"/>
        <v>13.5</v>
      </c>
      <c r="G486" s="16"/>
      <c r="H486" s="16"/>
      <c r="I486" s="16">
        <v>13.5</v>
      </c>
      <c r="J486" s="16"/>
      <c r="K486" s="176"/>
    </row>
    <row r="487" spans="1:11" x14ac:dyDescent="0.2">
      <c r="A487" s="150"/>
      <c r="B487" s="152"/>
      <c r="C487" s="154"/>
      <c r="D487" s="163"/>
      <c r="E487" s="131">
        <v>2019</v>
      </c>
      <c r="F487" s="83">
        <f t="shared" si="32"/>
        <v>14</v>
      </c>
      <c r="G487" s="16"/>
      <c r="H487" s="16"/>
      <c r="I487" s="16">
        <v>14</v>
      </c>
      <c r="J487" s="16"/>
      <c r="K487" s="176"/>
    </row>
    <row r="488" spans="1:11" x14ac:dyDescent="0.2">
      <c r="A488" s="150"/>
      <c r="B488" s="152"/>
      <c r="C488" s="154"/>
      <c r="D488" s="163"/>
      <c r="E488" s="131">
        <v>2020</v>
      </c>
      <c r="F488" s="83">
        <f t="shared" si="32"/>
        <v>14.5</v>
      </c>
      <c r="G488" s="16"/>
      <c r="H488" s="16"/>
      <c r="I488" s="16">
        <v>14.5</v>
      </c>
      <c r="J488" s="16"/>
      <c r="K488" s="176"/>
    </row>
    <row r="489" spans="1:11" x14ac:dyDescent="0.2">
      <c r="A489" s="150"/>
      <c r="B489" s="152"/>
      <c r="C489" s="154"/>
      <c r="D489" s="164"/>
      <c r="E489" s="26" t="s">
        <v>18</v>
      </c>
      <c r="F489" s="23">
        <f>SUM(F483:F488)</f>
        <v>66.5</v>
      </c>
      <c r="G489" s="15"/>
      <c r="H489" s="15"/>
      <c r="I489" s="15">
        <f>SUM(I483:I488)</f>
        <v>66.5</v>
      </c>
      <c r="J489" s="16"/>
      <c r="K489" s="170"/>
    </row>
    <row r="490" spans="1:11" x14ac:dyDescent="0.2">
      <c r="A490" s="149" t="s">
        <v>110</v>
      </c>
      <c r="B490" s="151" t="s">
        <v>111</v>
      </c>
      <c r="C490" s="153" t="s">
        <v>75</v>
      </c>
      <c r="D490" s="162" t="s">
        <v>257</v>
      </c>
      <c r="E490" s="131">
        <v>2015</v>
      </c>
      <c r="F490" s="84"/>
      <c r="G490" s="2"/>
      <c r="H490" s="2"/>
      <c r="I490" s="2"/>
      <c r="J490" s="2"/>
      <c r="K490" s="162" t="s">
        <v>213</v>
      </c>
    </row>
    <row r="491" spans="1:11" x14ac:dyDescent="0.2">
      <c r="A491" s="150"/>
      <c r="B491" s="152"/>
      <c r="C491" s="154"/>
      <c r="D491" s="163"/>
      <c r="E491" s="131">
        <v>2016</v>
      </c>
      <c r="F491" s="84"/>
      <c r="G491" s="2"/>
      <c r="H491" s="2"/>
      <c r="I491" s="2"/>
      <c r="J491" s="2"/>
      <c r="K491" s="176"/>
    </row>
    <row r="492" spans="1:11" x14ac:dyDescent="0.2">
      <c r="A492" s="150"/>
      <c r="B492" s="152"/>
      <c r="C492" s="154"/>
      <c r="D492" s="163"/>
      <c r="E492" s="131">
        <v>2017</v>
      </c>
      <c r="F492" s="84"/>
      <c r="G492" s="2"/>
      <c r="H492" s="2"/>
      <c r="I492" s="2"/>
      <c r="J492" s="2"/>
      <c r="K492" s="176"/>
    </row>
    <row r="493" spans="1:11" x14ac:dyDescent="0.2">
      <c r="A493" s="150"/>
      <c r="B493" s="152"/>
      <c r="C493" s="154"/>
      <c r="D493" s="163"/>
      <c r="E493" s="131">
        <v>2018</v>
      </c>
      <c r="F493" s="84"/>
      <c r="G493" s="2"/>
      <c r="H493" s="2"/>
      <c r="I493" s="2"/>
      <c r="J493" s="2"/>
      <c r="K493" s="176"/>
    </row>
    <row r="494" spans="1:11" x14ac:dyDescent="0.2">
      <c r="A494" s="150"/>
      <c r="B494" s="152"/>
      <c r="C494" s="154"/>
      <c r="D494" s="163"/>
      <c r="E494" s="131">
        <v>2019</v>
      </c>
      <c r="F494" s="84"/>
      <c r="G494" s="2"/>
      <c r="H494" s="2"/>
      <c r="I494" s="2"/>
      <c r="J494" s="2"/>
      <c r="K494" s="176"/>
    </row>
    <row r="495" spans="1:11" x14ac:dyDescent="0.2">
      <c r="A495" s="150"/>
      <c r="B495" s="152"/>
      <c r="C495" s="154"/>
      <c r="D495" s="163"/>
      <c r="E495" s="131">
        <v>2020</v>
      </c>
      <c r="F495" s="84"/>
      <c r="G495" s="2"/>
      <c r="H495" s="2"/>
      <c r="I495" s="2"/>
      <c r="J495" s="2"/>
      <c r="K495" s="176"/>
    </row>
    <row r="496" spans="1:11" x14ac:dyDescent="0.2">
      <c r="A496" s="150"/>
      <c r="B496" s="152"/>
      <c r="C496" s="154"/>
      <c r="D496" s="164"/>
      <c r="E496" s="26" t="s">
        <v>18</v>
      </c>
      <c r="F496" s="84"/>
      <c r="G496" s="2"/>
      <c r="H496" s="2"/>
      <c r="I496" s="2"/>
      <c r="J496" s="2"/>
      <c r="K496" s="170"/>
    </row>
    <row r="497" spans="1:35" ht="12.75" customHeight="1" x14ac:dyDescent="0.2">
      <c r="A497" s="149" t="s">
        <v>112</v>
      </c>
      <c r="B497" s="151" t="s">
        <v>113</v>
      </c>
      <c r="C497" s="153" t="s">
        <v>75</v>
      </c>
      <c r="D497" s="162" t="s">
        <v>257</v>
      </c>
      <c r="E497" s="131">
        <v>2015</v>
      </c>
      <c r="F497" s="84"/>
      <c r="G497" s="2"/>
      <c r="H497" s="2"/>
      <c r="I497" s="2"/>
      <c r="J497" s="2"/>
      <c r="K497" s="162" t="s">
        <v>214</v>
      </c>
    </row>
    <row r="498" spans="1:35" x14ac:dyDescent="0.2">
      <c r="A498" s="150"/>
      <c r="B498" s="152"/>
      <c r="C498" s="154"/>
      <c r="D498" s="163"/>
      <c r="E498" s="131">
        <v>2016</v>
      </c>
      <c r="F498" s="84"/>
      <c r="G498" s="2"/>
      <c r="H498" s="2"/>
      <c r="I498" s="2"/>
      <c r="J498" s="2"/>
      <c r="K498" s="176"/>
    </row>
    <row r="499" spans="1:35" x14ac:dyDescent="0.2">
      <c r="A499" s="150"/>
      <c r="B499" s="152"/>
      <c r="C499" s="154"/>
      <c r="D499" s="163"/>
      <c r="E499" s="131">
        <v>2017</v>
      </c>
      <c r="F499" s="84"/>
      <c r="G499" s="2"/>
      <c r="H499" s="2"/>
      <c r="I499" s="2"/>
      <c r="J499" s="2"/>
      <c r="K499" s="176"/>
    </row>
    <row r="500" spans="1:35" x14ac:dyDescent="0.2">
      <c r="A500" s="150"/>
      <c r="B500" s="152"/>
      <c r="C500" s="154"/>
      <c r="D500" s="163"/>
      <c r="E500" s="131">
        <v>2018</v>
      </c>
      <c r="F500" s="84"/>
      <c r="G500" s="2"/>
      <c r="H500" s="2"/>
      <c r="I500" s="2"/>
      <c r="J500" s="2"/>
      <c r="K500" s="176"/>
    </row>
    <row r="501" spans="1:35" x14ac:dyDescent="0.2">
      <c r="A501" s="150"/>
      <c r="B501" s="152"/>
      <c r="C501" s="154"/>
      <c r="D501" s="163"/>
      <c r="E501" s="131">
        <v>2019</v>
      </c>
      <c r="F501" s="84"/>
      <c r="G501" s="2"/>
      <c r="H501" s="2"/>
      <c r="I501" s="2"/>
      <c r="J501" s="2"/>
      <c r="K501" s="176"/>
    </row>
    <row r="502" spans="1:35" x14ac:dyDescent="0.2">
      <c r="A502" s="150"/>
      <c r="B502" s="152"/>
      <c r="C502" s="154"/>
      <c r="D502" s="163"/>
      <c r="E502" s="131">
        <v>2020</v>
      </c>
      <c r="F502" s="84"/>
      <c r="G502" s="2"/>
      <c r="H502" s="2"/>
      <c r="I502" s="2"/>
      <c r="J502" s="2"/>
      <c r="K502" s="176"/>
    </row>
    <row r="503" spans="1:35" ht="24.75" customHeight="1" x14ac:dyDescent="0.2">
      <c r="A503" s="150"/>
      <c r="B503" s="152"/>
      <c r="C503" s="154"/>
      <c r="D503" s="164"/>
      <c r="E503" s="26" t="s">
        <v>18</v>
      </c>
      <c r="F503" s="84"/>
      <c r="G503" s="2"/>
      <c r="H503" s="2"/>
      <c r="I503" s="2"/>
      <c r="J503" s="2"/>
      <c r="K503" s="176"/>
    </row>
    <row r="504" spans="1:35" ht="26.25" thickBot="1" x14ac:dyDescent="0.25">
      <c r="A504" s="165" t="s">
        <v>246</v>
      </c>
      <c r="B504" s="166"/>
      <c r="C504" s="166"/>
      <c r="D504" s="166"/>
      <c r="E504" s="8" t="s">
        <v>75</v>
      </c>
      <c r="F504" s="19">
        <f>F482+F489</f>
        <v>317.5</v>
      </c>
      <c r="G504" s="19"/>
      <c r="H504" s="19"/>
      <c r="I504" s="19">
        <f>I482+I489</f>
        <v>317.5</v>
      </c>
      <c r="J504" s="19"/>
      <c r="K504" s="127"/>
    </row>
    <row r="505" spans="1:35" ht="31.5" customHeight="1" thickBot="1" x14ac:dyDescent="0.25">
      <c r="A505" s="144" t="s">
        <v>247</v>
      </c>
      <c r="B505" s="145"/>
      <c r="C505" s="145"/>
      <c r="D505" s="145"/>
      <c r="E505" s="145"/>
      <c r="F505" s="145"/>
      <c r="G505" s="145"/>
      <c r="H505" s="145"/>
      <c r="I505" s="145"/>
      <c r="J505" s="145"/>
      <c r="K505" s="145"/>
      <c r="L505" s="85"/>
      <c r="M505" s="85"/>
      <c r="N505" s="85"/>
      <c r="O505" s="85"/>
      <c r="P505" s="85"/>
      <c r="Q505" s="85"/>
      <c r="R505" s="85"/>
      <c r="S505" s="85"/>
      <c r="T505" s="85"/>
      <c r="U505" s="85"/>
      <c r="V505" s="85"/>
      <c r="W505" s="85"/>
      <c r="X505" s="85"/>
      <c r="Y505" s="85"/>
      <c r="Z505" s="85"/>
      <c r="AA505" s="85"/>
      <c r="AB505" s="85"/>
      <c r="AC505" s="85"/>
      <c r="AD505" s="85"/>
      <c r="AE505" s="85"/>
      <c r="AF505" s="85"/>
      <c r="AG505" s="85"/>
      <c r="AH505" s="85"/>
      <c r="AI505" s="86"/>
    </row>
    <row r="506" spans="1:35" ht="30" customHeight="1" thickBot="1" x14ac:dyDescent="0.25">
      <c r="A506" s="146" t="s">
        <v>248</v>
      </c>
      <c r="B506" s="147"/>
      <c r="C506" s="147"/>
      <c r="D506" s="148"/>
      <c r="E506" s="148"/>
      <c r="F506" s="148"/>
      <c r="G506" s="148"/>
      <c r="H506" s="148"/>
      <c r="I506" s="148"/>
      <c r="J506" s="148"/>
      <c r="K506" s="148"/>
      <c r="L506" s="87"/>
      <c r="M506" s="87"/>
      <c r="N506" s="87"/>
      <c r="O506" s="87"/>
      <c r="P506" s="87"/>
      <c r="Q506" s="87"/>
      <c r="R506" s="87"/>
      <c r="S506" s="87"/>
      <c r="T506" s="87"/>
      <c r="U506" s="87"/>
      <c r="V506" s="87"/>
      <c r="W506" s="87"/>
      <c r="X506" s="87"/>
      <c r="Y506" s="87"/>
      <c r="Z506" s="87"/>
      <c r="AA506" s="87"/>
      <c r="AB506" s="87"/>
      <c r="AC506" s="87"/>
      <c r="AD506" s="87"/>
      <c r="AE506" s="87"/>
      <c r="AF506" s="87"/>
      <c r="AG506" s="87"/>
      <c r="AH506" s="87"/>
      <c r="AI506" s="88"/>
    </row>
    <row r="507" spans="1:35" x14ac:dyDescent="0.2">
      <c r="A507" s="149" t="s">
        <v>114</v>
      </c>
      <c r="B507" s="151" t="s">
        <v>115</v>
      </c>
      <c r="C507" s="153" t="s">
        <v>75</v>
      </c>
      <c r="D507" s="162" t="s">
        <v>257</v>
      </c>
      <c r="E507" s="131">
        <v>2015</v>
      </c>
      <c r="F507" s="83">
        <f t="shared" ref="F507:F512" si="33">SUM(G507:I507)</f>
        <v>170</v>
      </c>
      <c r="G507" s="16"/>
      <c r="H507" s="16"/>
      <c r="I507" s="16">
        <v>170</v>
      </c>
      <c r="J507" s="16"/>
      <c r="K507" s="162" t="s">
        <v>215</v>
      </c>
    </row>
    <row r="508" spans="1:35" x14ac:dyDescent="0.2">
      <c r="A508" s="150"/>
      <c r="B508" s="152"/>
      <c r="C508" s="154"/>
      <c r="D508" s="163"/>
      <c r="E508" s="131">
        <v>2016</v>
      </c>
      <c r="F508" s="83">
        <f t="shared" si="33"/>
        <v>180</v>
      </c>
      <c r="G508" s="16"/>
      <c r="H508" s="16"/>
      <c r="I508" s="16">
        <v>180</v>
      </c>
      <c r="J508" s="16"/>
      <c r="K508" s="176"/>
    </row>
    <row r="509" spans="1:35" x14ac:dyDescent="0.2">
      <c r="A509" s="150"/>
      <c r="B509" s="152"/>
      <c r="C509" s="154"/>
      <c r="D509" s="163"/>
      <c r="E509" s="131">
        <v>2017</v>
      </c>
      <c r="F509" s="83">
        <f t="shared" si="33"/>
        <v>0</v>
      </c>
      <c r="G509" s="16"/>
      <c r="H509" s="16"/>
      <c r="I509" s="16"/>
      <c r="J509" s="16"/>
      <c r="K509" s="176"/>
    </row>
    <row r="510" spans="1:35" x14ac:dyDescent="0.2">
      <c r="A510" s="150"/>
      <c r="B510" s="152"/>
      <c r="C510" s="154"/>
      <c r="D510" s="163"/>
      <c r="E510" s="131">
        <v>2018</v>
      </c>
      <c r="F510" s="83">
        <f t="shared" si="33"/>
        <v>200</v>
      </c>
      <c r="G510" s="16"/>
      <c r="H510" s="16"/>
      <c r="I510" s="16">
        <v>200</v>
      </c>
      <c r="J510" s="16"/>
      <c r="K510" s="176"/>
    </row>
    <row r="511" spans="1:35" x14ac:dyDescent="0.2">
      <c r="A511" s="150"/>
      <c r="B511" s="152"/>
      <c r="C511" s="154"/>
      <c r="D511" s="163"/>
      <c r="E511" s="131">
        <v>2019</v>
      </c>
      <c r="F511" s="83">
        <f t="shared" si="33"/>
        <v>210</v>
      </c>
      <c r="G511" s="16"/>
      <c r="H511" s="16"/>
      <c r="I511" s="16">
        <v>210</v>
      </c>
      <c r="J511" s="16"/>
      <c r="K511" s="176"/>
    </row>
    <row r="512" spans="1:35" x14ac:dyDescent="0.2">
      <c r="A512" s="150"/>
      <c r="B512" s="152"/>
      <c r="C512" s="154"/>
      <c r="D512" s="163"/>
      <c r="E512" s="131">
        <v>2020</v>
      </c>
      <c r="F512" s="83">
        <f t="shared" si="33"/>
        <v>220</v>
      </c>
      <c r="G512" s="16"/>
      <c r="H512" s="16"/>
      <c r="I512" s="16">
        <v>220</v>
      </c>
      <c r="J512" s="16"/>
      <c r="K512" s="176"/>
    </row>
    <row r="513" spans="1:35" ht="13.5" thickBot="1" x14ac:dyDescent="0.25">
      <c r="A513" s="150"/>
      <c r="B513" s="152"/>
      <c r="C513" s="154"/>
      <c r="D513" s="164"/>
      <c r="E513" s="26" t="s">
        <v>18</v>
      </c>
      <c r="F513" s="23">
        <f>SUM(F507:F512)</f>
        <v>980</v>
      </c>
      <c r="G513" s="15"/>
      <c r="H513" s="15"/>
      <c r="I513" s="15">
        <f>SUM(I507:I512)</f>
        <v>980</v>
      </c>
      <c r="J513" s="16"/>
      <c r="K513" s="170"/>
    </row>
    <row r="514" spans="1:35" x14ac:dyDescent="0.2">
      <c r="A514" s="149" t="s">
        <v>83</v>
      </c>
      <c r="B514" s="159" t="s">
        <v>116</v>
      </c>
      <c r="C514" s="153" t="s">
        <v>75</v>
      </c>
      <c r="D514" s="162" t="s">
        <v>257</v>
      </c>
      <c r="E514" s="131">
        <v>2015</v>
      </c>
      <c r="F514" s="89"/>
      <c r="G514" s="16"/>
      <c r="H514" s="16"/>
      <c r="I514" s="16"/>
      <c r="J514" s="16"/>
      <c r="K514" s="162" t="s">
        <v>216</v>
      </c>
    </row>
    <row r="515" spans="1:35" x14ac:dyDescent="0.2">
      <c r="A515" s="150"/>
      <c r="B515" s="160"/>
      <c r="C515" s="154"/>
      <c r="D515" s="163"/>
      <c r="E515" s="131">
        <v>2016</v>
      </c>
      <c r="F515" s="89"/>
      <c r="G515" s="16"/>
      <c r="H515" s="16"/>
      <c r="I515" s="16"/>
      <c r="J515" s="16"/>
      <c r="K515" s="176"/>
    </row>
    <row r="516" spans="1:35" x14ac:dyDescent="0.2">
      <c r="A516" s="150"/>
      <c r="B516" s="160"/>
      <c r="C516" s="154"/>
      <c r="D516" s="163"/>
      <c r="E516" s="131">
        <v>2017</v>
      </c>
      <c r="F516" s="89"/>
      <c r="G516" s="16"/>
      <c r="H516" s="16"/>
      <c r="I516" s="16"/>
      <c r="J516" s="16"/>
      <c r="K516" s="176"/>
    </row>
    <row r="517" spans="1:35" x14ac:dyDescent="0.2">
      <c r="A517" s="150"/>
      <c r="B517" s="160"/>
      <c r="C517" s="154"/>
      <c r="D517" s="163"/>
      <c r="E517" s="131">
        <v>2018</v>
      </c>
      <c r="F517" s="89"/>
      <c r="G517" s="16"/>
      <c r="H517" s="16"/>
      <c r="I517" s="16"/>
      <c r="J517" s="16"/>
      <c r="K517" s="176"/>
    </row>
    <row r="518" spans="1:35" x14ac:dyDescent="0.2">
      <c r="A518" s="150"/>
      <c r="B518" s="160"/>
      <c r="C518" s="154"/>
      <c r="D518" s="163"/>
      <c r="E518" s="131">
        <v>2019</v>
      </c>
      <c r="F518" s="89"/>
      <c r="G518" s="16"/>
      <c r="H518" s="16"/>
      <c r="I518" s="16"/>
      <c r="J518" s="16"/>
      <c r="K518" s="176"/>
    </row>
    <row r="519" spans="1:35" x14ac:dyDescent="0.2">
      <c r="A519" s="150"/>
      <c r="B519" s="160"/>
      <c r="C519" s="154"/>
      <c r="D519" s="163"/>
      <c r="E519" s="131">
        <v>2020</v>
      </c>
      <c r="F519" s="89"/>
      <c r="G519" s="16"/>
      <c r="H519" s="16"/>
      <c r="I519" s="16"/>
      <c r="J519" s="16"/>
      <c r="K519" s="176"/>
    </row>
    <row r="520" spans="1:35" x14ac:dyDescent="0.2">
      <c r="A520" s="158"/>
      <c r="B520" s="160"/>
      <c r="C520" s="161"/>
      <c r="D520" s="164"/>
      <c r="E520" s="35" t="s">
        <v>18</v>
      </c>
      <c r="F520" s="90"/>
      <c r="G520" s="30"/>
      <c r="H520" s="30"/>
      <c r="I520" s="30"/>
      <c r="J520" s="30"/>
      <c r="K520" s="176"/>
    </row>
    <row r="521" spans="1:35" ht="26.25" thickBot="1" x14ac:dyDescent="0.25">
      <c r="A521" s="165" t="s">
        <v>234</v>
      </c>
      <c r="B521" s="166"/>
      <c r="C521" s="166"/>
      <c r="D521" s="166"/>
      <c r="E521" s="8" t="s">
        <v>75</v>
      </c>
      <c r="F521" s="19">
        <f>F513+F520</f>
        <v>980</v>
      </c>
      <c r="G521" s="19"/>
      <c r="H521" s="19"/>
      <c r="I521" s="19">
        <f>I513+I520</f>
        <v>980</v>
      </c>
      <c r="J521" s="21"/>
      <c r="K521" s="120"/>
    </row>
    <row r="522" spans="1:35" ht="18" customHeight="1" thickBot="1" x14ac:dyDescent="0.25">
      <c r="A522" s="177" t="s">
        <v>249</v>
      </c>
      <c r="B522" s="178"/>
      <c r="C522" s="178"/>
      <c r="D522" s="178"/>
      <c r="E522" s="178"/>
      <c r="F522" s="178"/>
      <c r="G522" s="178"/>
      <c r="H522" s="178"/>
      <c r="I522" s="178"/>
      <c r="J522" s="178"/>
      <c r="K522" s="179"/>
      <c r="L522" s="74"/>
      <c r="M522" s="74"/>
      <c r="N522" s="74"/>
      <c r="O522" s="74"/>
      <c r="P522" s="74"/>
      <c r="Q522" s="74"/>
      <c r="R522" s="74"/>
      <c r="S522" s="74"/>
      <c r="T522" s="74"/>
      <c r="U522" s="74"/>
      <c r="V522" s="74"/>
      <c r="W522" s="74"/>
      <c r="X522" s="74"/>
      <c r="Y522" s="74"/>
      <c r="Z522" s="74"/>
      <c r="AA522" s="74"/>
      <c r="AB522" s="74"/>
      <c r="AC522" s="74"/>
      <c r="AD522" s="74"/>
      <c r="AE522" s="74"/>
      <c r="AF522" s="74"/>
      <c r="AG522" s="74"/>
      <c r="AH522" s="74"/>
      <c r="AI522" s="75"/>
    </row>
    <row r="523" spans="1:35" ht="15" thickBot="1" x14ac:dyDescent="0.25">
      <c r="A523" s="155" t="s">
        <v>94</v>
      </c>
      <c r="B523" s="156"/>
      <c r="C523" s="156"/>
      <c r="D523" s="156"/>
      <c r="E523" s="156"/>
      <c r="F523" s="156"/>
      <c r="G523" s="156"/>
      <c r="H523" s="156"/>
      <c r="I523" s="156"/>
      <c r="J523" s="156"/>
      <c r="K523" s="157"/>
      <c r="L523" s="91"/>
      <c r="M523" s="91"/>
      <c r="N523" s="91"/>
      <c r="O523" s="91"/>
      <c r="P523" s="91"/>
      <c r="Q523" s="91"/>
      <c r="R523" s="91"/>
      <c r="S523" s="91"/>
      <c r="T523" s="91"/>
      <c r="U523" s="91"/>
      <c r="V523" s="91"/>
      <c r="W523" s="91"/>
      <c r="X523" s="91"/>
      <c r="Y523" s="91"/>
      <c r="Z523" s="91"/>
      <c r="AA523" s="91"/>
      <c r="AB523" s="91"/>
      <c r="AC523" s="91"/>
      <c r="AD523" s="91"/>
      <c r="AE523" s="91"/>
      <c r="AF523" s="91"/>
      <c r="AG523" s="91"/>
      <c r="AH523" s="91"/>
      <c r="AI523" s="92"/>
    </row>
    <row r="524" spans="1:35" x14ac:dyDescent="0.2">
      <c r="A524" s="167" t="s">
        <v>95</v>
      </c>
      <c r="B524" s="168" t="s">
        <v>117</v>
      </c>
      <c r="C524" s="170" t="s">
        <v>75</v>
      </c>
      <c r="D524" s="176" t="s">
        <v>257</v>
      </c>
      <c r="E524" s="7">
        <v>2015</v>
      </c>
      <c r="F524" s="121">
        <f t="shared" ref="F524:F529" si="34">SUM(G524:I524)</f>
        <v>5</v>
      </c>
      <c r="G524" s="14"/>
      <c r="H524" s="14"/>
      <c r="I524" s="14">
        <v>5</v>
      </c>
      <c r="J524" s="14"/>
      <c r="K524" s="176" t="s">
        <v>217</v>
      </c>
    </row>
    <row r="525" spans="1:35" x14ac:dyDescent="0.2">
      <c r="A525" s="150"/>
      <c r="B525" s="152"/>
      <c r="C525" s="171"/>
      <c r="D525" s="163"/>
      <c r="E525" s="131">
        <v>2016</v>
      </c>
      <c r="F525" s="83">
        <f t="shared" si="34"/>
        <v>6</v>
      </c>
      <c r="G525" s="16"/>
      <c r="H525" s="16"/>
      <c r="I525" s="16">
        <v>6</v>
      </c>
      <c r="J525" s="16"/>
      <c r="K525" s="176"/>
    </row>
    <row r="526" spans="1:35" x14ac:dyDescent="0.2">
      <c r="A526" s="150"/>
      <c r="B526" s="152"/>
      <c r="C526" s="171"/>
      <c r="D526" s="163"/>
      <c r="E526" s="131">
        <v>2017</v>
      </c>
      <c r="F526" s="83">
        <f t="shared" si="34"/>
        <v>0</v>
      </c>
      <c r="G526" s="16"/>
      <c r="H526" s="16"/>
      <c r="I526" s="16"/>
      <c r="J526" s="16"/>
      <c r="K526" s="176"/>
    </row>
    <row r="527" spans="1:35" x14ac:dyDescent="0.2">
      <c r="A527" s="150"/>
      <c r="B527" s="152"/>
      <c r="C527" s="171"/>
      <c r="D527" s="163"/>
      <c r="E527" s="131">
        <v>2018</v>
      </c>
      <c r="F527" s="83">
        <f t="shared" si="34"/>
        <v>7</v>
      </c>
      <c r="G527" s="16"/>
      <c r="H527" s="16"/>
      <c r="I527" s="16">
        <v>7</v>
      </c>
      <c r="J527" s="16"/>
      <c r="K527" s="176"/>
    </row>
    <row r="528" spans="1:35" x14ac:dyDescent="0.2">
      <c r="A528" s="150"/>
      <c r="B528" s="152"/>
      <c r="C528" s="171"/>
      <c r="D528" s="163"/>
      <c r="E528" s="131">
        <v>2019</v>
      </c>
      <c r="F528" s="83">
        <f t="shared" si="34"/>
        <v>7.5</v>
      </c>
      <c r="G528" s="16"/>
      <c r="H528" s="16"/>
      <c r="I528" s="16">
        <v>7.5</v>
      </c>
      <c r="J528" s="16"/>
      <c r="K528" s="176"/>
    </row>
    <row r="529" spans="1:35" x14ac:dyDescent="0.2">
      <c r="A529" s="150"/>
      <c r="B529" s="152"/>
      <c r="C529" s="171"/>
      <c r="D529" s="163"/>
      <c r="E529" s="131">
        <v>2020</v>
      </c>
      <c r="F529" s="83">
        <f t="shared" si="34"/>
        <v>8</v>
      </c>
      <c r="G529" s="16"/>
      <c r="H529" s="16"/>
      <c r="I529" s="16">
        <v>8</v>
      </c>
      <c r="J529" s="16"/>
      <c r="K529" s="176"/>
    </row>
    <row r="530" spans="1:35" x14ac:dyDescent="0.2">
      <c r="A530" s="158"/>
      <c r="B530" s="169"/>
      <c r="C530" s="172"/>
      <c r="D530" s="164"/>
      <c r="E530" s="35" t="s">
        <v>18</v>
      </c>
      <c r="F530" s="93">
        <f>SUM(F524:F529)</f>
        <v>33.5</v>
      </c>
      <c r="G530" s="24"/>
      <c r="H530" s="24"/>
      <c r="I530" s="24">
        <f>SUM(I524:I529)</f>
        <v>33.5</v>
      </c>
      <c r="J530" s="30"/>
      <c r="K530" s="170"/>
    </row>
    <row r="531" spans="1:35" x14ac:dyDescent="0.2">
      <c r="A531" s="173" t="s">
        <v>97</v>
      </c>
      <c r="B531" s="151" t="s">
        <v>118</v>
      </c>
      <c r="C531" s="175" t="s">
        <v>75</v>
      </c>
      <c r="D531" s="162" t="s">
        <v>257</v>
      </c>
      <c r="E531" s="131">
        <v>2015</v>
      </c>
      <c r="F531" s="99">
        <f t="shared" ref="F531:F536" si="35">SUM(G531:I531)</f>
        <v>13.5</v>
      </c>
      <c r="G531" s="16"/>
      <c r="H531" s="16"/>
      <c r="I531" s="16">
        <v>13.5</v>
      </c>
      <c r="J531" s="16"/>
      <c r="K531" s="162" t="s">
        <v>217</v>
      </c>
    </row>
    <row r="532" spans="1:35" x14ac:dyDescent="0.2">
      <c r="A532" s="174"/>
      <c r="B532" s="152"/>
      <c r="C532" s="171"/>
      <c r="D532" s="163"/>
      <c r="E532" s="131">
        <v>2016</v>
      </c>
      <c r="F532" s="99">
        <f t="shared" si="35"/>
        <v>14</v>
      </c>
      <c r="G532" s="16"/>
      <c r="H532" s="16"/>
      <c r="I532" s="16">
        <v>14</v>
      </c>
      <c r="J532" s="16"/>
      <c r="K532" s="176"/>
    </row>
    <row r="533" spans="1:35" x14ac:dyDescent="0.2">
      <c r="A533" s="174"/>
      <c r="B533" s="152"/>
      <c r="C533" s="171"/>
      <c r="D533" s="163"/>
      <c r="E533" s="131">
        <v>2017</v>
      </c>
      <c r="F533" s="99">
        <f t="shared" si="35"/>
        <v>14.5</v>
      </c>
      <c r="G533" s="16"/>
      <c r="H533" s="16"/>
      <c r="I533" s="16">
        <v>14.5</v>
      </c>
      <c r="J533" s="16"/>
      <c r="K533" s="176"/>
    </row>
    <row r="534" spans="1:35" x14ac:dyDescent="0.2">
      <c r="A534" s="174"/>
      <c r="B534" s="152"/>
      <c r="C534" s="171"/>
      <c r="D534" s="163"/>
      <c r="E534" s="131">
        <v>2018</v>
      </c>
      <c r="F534" s="99">
        <f t="shared" si="35"/>
        <v>15</v>
      </c>
      <c r="G534" s="16"/>
      <c r="H534" s="16"/>
      <c r="I534" s="16">
        <v>15</v>
      </c>
      <c r="J534" s="16"/>
      <c r="K534" s="176"/>
    </row>
    <row r="535" spans="1:35" x14ac:dyDescent="0.2">
      <c r="A535" s="174"/>
      <c r="B535" s="152"/>
      <c r="C535" s="171"/>
      <c r="D535" s="163"/>
      <c r="E535" s="131">
        <v>2019</v>
      </c>
      <c r="F535" s="99">
        <f t="shared" si="35"/>
        <v>15.5</v>
      </c>
      <c r="G535" s="16"/>
      <c r="H535" s="16"/>
      <c r="I535" s="16">
        <v>15.5</v>
      </c>
      <c r="J535" s="16"/>
      <c r="K535" s="176"/>
    </row>
    <row r="536" spans="1:35" x14ac:dyDescent="0.2">
      <c r="A536" s="174"/>
      <c r="B536" s="152"/>
      <c r="C536" s="171"/>
      <c r="D536" s="163"/>
      <c r="E536" s="131">
        <v>2020</v>
      </c>
      <c r="F536" s="99">
        <f t="shared" si="35"/>
        <v>16</v>
      </c>
      <c r="G536" s="16"/>
      <c r="H536" s="16"/>
      <c r="I536" s="16">
        <v>16</v>
      </c>
      <c r="J536" s="16"/>
      <c r="K536" s="176"/>
    </row>
    <row r="537" spans="1:35" x14ac:dyDescent="0.2">
      <c r="A537" s="174"/>
      <c r="B537" s="152"/>
      <c r="C537" s="171"/>
      <c r="D537" s="164"/>
      <c r="E537" s="26" t="s">
        <v>18</v>
      </c>
      <c r="F537" s="22">
        <f>SUM(F531:F536)</f>
        <v>88.5</v>
      </c>
      <c r="G537" s="15"/>
      <c r="H537" s="15"/>
      <c r="I537" s="15">
        <f>SUM(I531:I536)</f>
        <v>88.5</v>
      </c>
      <c r="J537" s="16"/>
      <c r="K537" s="176"/>
    </row>
    <row r="538" spans="1:35" ht="26.25" thickBot="1" x14ac:dyDescent="0.25">
      <c r="A538" s="165" t="s">
        <v>236</v>
      </c>
      <c r="B538" s="166"/>
      <c r="C538" s="166"/>
      <c r="D538" s="166"/>
      <c r="E538" s="8" t="s">
        <v>75</v>
      </c>
      <c r="F538" s="19">
        <f>SUM(G538:I538)</f>
        <v>122</v>
      </c>
      <c r="G538" s="19"/>
      <c r="H538" s="19"/>
      <c r="I538" s="19">
        <f>I537+I530</f>
        <v>122</v>
      </c>
      <c r="J538" s="21"/>
      <c r="K538" s="136"/>
    </row>
    <row r="539" spans="1:35" ht="15" thickBot="1" x14ac:dyDescent="0.25">
      <c r="A539" s="146" t="s">
        <v>250</v>
      </c>
      <c r="B539" s="152"/>
      <c r="C539" s="152"/>
      <c r="D539" s="152"/>
      <c r="E539" s="152"/>
      <c r="F539" s="152"/>
      <c r="G539" s="152"/>
      <c r="H539" s="152"/>
      <c r="I539" s="152"/>
      <c r="J539" s="152"/>
      <c r="K539" s="152"/>
      <c r="L539" s="74"/>
      <c r="M539" s="74"/>
      <c r="N539" s="74"/>
      <c r="O539" s="74"/>
      <c r="P539" s="74"/>
      <c r="Q539" s="74"/>
      <c r="R539" s="74"/>
      <c r="S539" s="74"/>
      <c r="T539" s="74"/>
      <c r="U539" s="74"/>
      <c r="V539" s="74"/>
      <c r="W539" s="74"/>
      <c r="X539" s="74"/>
      <c r="Y539" s="74"/>
      <c r="Z539" s="74"/>
      <c r="AA539" s="74"/>
      <c r="AB539" s="74"/>
      <c r="AC539" s="74"/>
      <c r="AD539" s="74"/>
      <c r="AE539" s="74"/>
      <c r="AF539" s="74"/>
      <c r="AG539" s="74"/>
      <c r="AH539" s="74"/>
      <c r="AI539" s="75"/>
    </row>
    <row r="540" spans="1:35" ht="15" thickBot="1" x14ac:dyDescent="0.25">
      <c r="A540" s="146" t="s">
        <v>119</v>
      </c>
      <c r="B540" s="152"/>
      <c r="C540" s="152"/>
      <c r="D540" s="152"/>
      <c r="E540" s="152"/>
      <c r="F540" s="152"/>
      <c r="G540" s="152"/>
      <c r="H540" s="152"/>
      <c r="I540" s="152"/>
      <c r="J540" s="152"/>
      <c r="K540" s="152"/>
      <c r="L540" s="87"/>
      <c r="M540" s="87"/>
      <c r="N540" s="87"/>
      <c r="O540" s="87"/>
      <c r="P540" s="87"/>
      <c r="Q540" s="87"/>
      <c r="R540" s="87"/>
      <c r="S540" s="87"/>
      <c r="T540" s="87"/>
      <c r="U540" s="87"/>
      <c r="V540" s="87"/>
      <c r="W540" s="87"/>
      <c r="X540" s="87"/>
      <c r="Y540" s="87"/>
      <c r="Z540" s="87"/>
      <c r="AA540" s="87"/>
      <c r="AB540" s="87"/>
      <c r="AC540" s="87"/>
      <c r="AD540" s="87"/>
      <c r="AE540" s="87"/>
      <c r="AF540" s="87"/>
      <c r="AG540" s="87"/>
      <c r="AH540" s="87"/>
      <c r="AI540" s="88"/>
    </row>
    <row r="541" spans="1:35" ht="12.75" customHeight="1" x14ac:dyDescent="0.2">
      <c r="A541" s="342" t="s">
        <v>120</v>
      </c>
      <c r="B541" s="159" t="s">
        <v>264</v>
      </c>
      <c r="C541" s="175" t="s">
        <v>75</v>
      </c>
      <c r="D541" s="162" t="s">
        <v>257</v>
      </c>
      <c r="E541" s="131">
        <v>2015</v>
      </c>
      <c r="F541" s="83">
        <f t="shared" ref="F541:F546" si="36">SUM(G541:I541)</f>
        <v>230</v>
      </c>
      <c r="G541" s="16"/>
      <c r="H541" s="16"/>
      <c r="I541" s="16">
        <v>230</v>
      </c>
      <c r="J541" s="16"/>
      <c r="K541" s="162" t="s">
        <v>220</v>
      </c>
    </row>
    <row r="542" spans="1:35" x14ac:dyDescent="0.2">
      <c r="A542" s="343"/>
      <c r="B542" s="160"/>
      <c r="C542" s="171"/>
      <c r="D542" s="163"/>
      <c r="E542" s="131">
        <v>2016</v>
      </c>
      <c r="F542" s="83">
        <f t="shared" si="36"/>
        <v>245</v>
      </c>
      <c r="G542" s="16"/>
      <c r="H542" s="16"/>
      <c r="I542" s="16">
        <v>245</v>
      </c>
      <c r="J542" s="16"/>
      <c r="K542" s="176"/>
    </row>
    <row r="543" spans="1:35" x14ac:dyDescent="0.2">
      <c r="A543" s="343"/>
      <c r="B543" s="160"/>
      <c r="C543" s="171"/>
      <c r="D543" s="163"/>
      <c r="E543" s="131">
        <v>2017</v>
      </c>
      <c r="F543" s="83">
        <f t="shared" si="36"/>
        <v>0</v>
      </c>
      <c r="G543" s="16"/>
      <c r="H543" s="16"/>
      <c r="I543" s="16"/>
      <c r="J543" s="16"/>
      <c r="K543" s="176"/>
    </row>
    <row r="544" spans="1:35" x14ac:dyDescent="0.2">
      <c r="A544" s="343"/>
      <c r="B544" s="160"/>
      <c r="C544" s="171"/>
      <c r="D544" s="163"/>
      <c r="E544" s="131">
        <v>2018</v>
      </c>
      <c r="F544" s="83">
        <f t="shared" si="36"/>
        <v>270</v>
      </c>
      <c r="G544" s="16"/>
      <c r="H544" s="16"/>
      <c r="I544" s="16">
        <v>270</v>
      </c>
      <c r="J544" s="16"/>
      <c r="K544" s="176"/>
    </row>
    <row r="545" spans="1:11" x14ac:dyDescent="0.2">
      <c r="A545" s="343"/>
      <c r="B545" s="160"/>
      <c r="C545" s="171"/>
      <c r="D545" s="163"/>
      <c r="E545" s="131">
        <v>2019</v>
      </c>
      <c r="F545" s="83">
        <f t="shared" si="36"/>
        <v>290</v>
      </c>
      <c r="G545" s="16"/>
      <c r="H545" s="16"/>
      <c r="I545" s="16">
        <v>290</v>
      </c>
      <c r="J545" s="16"/>
      <c r="K545" s="176"/>
    </row>
    <row r="546" spans="1:11" x14ac:dyDescent="0.2">
      <c r="A546" s="343"/>
      <c r="B546" s="160"/>
      <c r="C546" s="171"/>
      <c r="D546" s="163"/>
      <c r="E546" s="131">
        <v>2020</v>
      </c>
      <c r="F546" s="83">
        <f t="shared" si="36"/>
        <v>300</v>
      </c>
      <c r="G546" s="16"/>
      <c r="H546" s="16"/>
      <c r="I546" s="16">
        <v>300</v>
      </c>
      <c r="J546" s="16"/>
      <c r="K546" s="176"/>
    </row>
    <row r="547" spans="1:11" ht="13.5" thickBot="1" x14ac:dyDescent="0.25">
      <c r="A547" s="343"/>
      <c r="B547" s="376"/>
      <c r="C547" s="171"/>
      <c r="D547" s="164"/>
      <c r="E547" s="26" t="s">
        <v>18</v>
      </c>
      <c r="F547" s="23">
        <f>SUM(F541:F546)</f>
        <v>1335</v>
      </c>
      <c r="G547" s="15"/>
      <c r="H547" s="15"/>
      <c r="I547" s="15">
        <f>SUM(I541:I546)</f>
        <v>1335</v>
      </c>
      <c r="J547" s="16"/>
      <c r="K547" s="176"/>
    </row>
    <row r="548" spans="1:11" x14ac:dyDescent="0.2">
      <c r="A548" s="149" t="s">
        <v>121</v>
      </c>
      <c r="B548" s="159" t="s">
        <v>266</v>
      </c>
      <c r="C548" s="175" t="s">
        <v>75</v>
      </c>
      <c r="D548" s="162" t="s">
        <v>257</v>
      </c>
      <c r="E548" s="131">
        <v>2015</v>
      </c>
      <c r="F548" s="83">
        <f t="shared" ref="F548:F553" si="37">SUM(G548:I548)</f>
        <v>80</v>
      </c>
      <c r="G548" s="16"/>
      <c r="H548" s="16"/>
      <c r="I548" s="16">
        <v>80</v>
      </c>
      <c r="J548" s="16"/>
      <c r="K548" s="176"/>
    </row>
    <row r="549" spans="1:11" x14ac:dyDescent="0.2">
      <c r="A549" s="150"/>
      <c r="B549" s="160"/>
      <c r="C549" s="171"/>
      <c r="D549" s="163"/>
      <c r="E549" s="131">
        <v>2016</v>
      </c>
      <c r="F549" s="83">
        <f t="shared" si="37"/>
        <v>85</v>
      </c>
      <c r="G549" s="16"/>
      <c r="H549" s="16"/>
      <c r="I549" s="16">
        <v>85</v>
      </c>
      <c r="J549" s="16"/>
      <c r="K549" s="176"/>
    </row>
    <row r="550" spans="1:11" x14ac:dyDescent="0.2">
      <c r="A550" s="150"/>
      <c r="B550" s="160"/>
      <c r="C550" s="171"/>
      <c r="D550" s="163"/>
      <c r="E550" s="131">
        <v>2017</v>
      </c>
      <c r="F550" s="83">
        <f t="shared" si="37"/>
        <v>0</v>
      </c>
      <c r="G550" s="16"/>
      <c r="H550" s="16"/>
      <c r="I550" s="16"/>
      <c r="J550" s="16"/>
      <c r="K550" s="176"/>
    </row>
    <row r="551" spans="1:11" x14ac:dyDescent="0.2">
      <c r="A551" s="150"/>
      <c r="B551" s="160"/>
      <c r="C551" s="171"/>
      <c r="D551" s="163"/>
      <c r="E551" s="131">
        <v>2018</v>
      </c>
      <c r="F551" s="83">
        <f t="shared" si="37"/>
        <v>95</v>
      </c>
      <c r="G551" s="16"/>
      <c r="H551" s="16"/>
      <c r="I551" s="16">
        <v>95</v>
      </c>
      <c r="J551" s="16"/>
      <c r="K551" s="176"/>
    </row>
    <row r="552" spans="1:11" x14ac:dyDescent="0.2">
      <c r="A552" s="150"/>
      <c r="B552" s="160"/>
      <c r="C552" s="171"/>
      <c r="D552" s="163"/>
      <c r="E552" s="131">
        <v>2019</v>
      </c>
      <c r="F552" s="83">
        <f t="shared" si="37"/>
        <v>100</v>
      </c>
      <c r="G552" s="16"/>
      <c r="H552" s="16"/>
      <c r="I552" s="16">
        <v>100</v>
      </c>
      <c r="J552" s="16"/>
      <c r="K552" s="176"/>
    </row>
    <row r="553" spans="1:11" x14ac:dyDescent="0.2">
      <c r="A553" s="150"/>
      <c r="B553" s="160"/>
      <c r="C553" s="171"/>
      <c r="D553" s="163"/>
      <c r="E553" s="131">
        <v>2020</v>
      </c>
      <c r="F553" s="83">
        <f t="shared" si="37"/>
        <v>110</v>
      </c>
      <c r="G553" s="16"/>
      <c r="H553" s="16"/>
      <c r="I553" s="16">
        <v>110</v>
      </c>
      <c r="J553" s="16"/>
      <c r="K553" s="176"/>
    </row>
    <row r="554" spans="1:11" ht="13.5" thickBot="1" x14ac:dyDescent="0.25">
      <c r="A554" s="150"/>
      <c r="B554" s="376"/>
      <c r="C554" s="171"/>
      <c r="D554" s="164"/>
      <c r="E554" s="26" t="s">
        <v>18</v>
      </c>
      <c r="F554" s="23">
        <f>SUM(F548:F553)</f>
        <v>470</v>
      </c>
      <c r="G554" s="15"/>
      <c r="H554" s="15"/>
      <c r="I554" s="15">
        <f>SUM(I548:I553)</f>
        <v>470</v>
      </c>
      <c r="J554" s="16"/>
      <c r="K554" s="170"/>
    </row>
    <row r="555" spans="1:11" x14ac:dyDescent="0.2">
      <c r="A555" s="149" t="s">
        <v>122</v>
      </c>
      <c r="B555" s="377" t="s">
        <v>265</v>
      </c>
      <c r="C555" s="175" t="s">
        <v>75</v>
      </c>
      <c r="D555" s="162" t="s">
        <v>257</v>
      </c>
      <c r="E555" s="131">
        <v>2015</v>
      </c>
      <c r="F555" s="83">
        <f t="shared" ref="F555:F560" si="38">SUM(G555:I555)</f>
        <v>47</v>
      </c>
      <c r="G555" s="16"/>
      <c r="H555" s="16"/>
      <c r="I555" s="16">
        <v>47</v>
      </c>
      <c r="J555" s="94"/>
      <c r="K555" s="162" t="s">
        <v>283</v>
      </c>
    </row>
    <row r="556" spans="1:11" x14ac:dyDescent="0.2">
      <c r="A556" s="150"/>
      <c r="B556" s="378"/>
      <c r="C556" s="171"/>
      <c r="D556" s="163"/>
      <c r="E556" s="131">
        <v>2016</v>
      </c>
      <c r="F556" s="83">
        <f t="shared" si="38"/>
        <v>50</v>
      </c>
      <c r="G556" s="16"/>
      <c r="H556" s="16"/>
      <c r="I556" s="16">
        <v>50</v>
      </c>
      <c r="J556" s="94"/>
      <c r="K556" s="176"/>
    </row>
    <row r="557" spans="1:11" x14ac:dyDescent="0.2">
      <c r="A557" s="150"/>
      <c r="B557" s="378"/>
      <c r="C557" s="171"/>
      <c r="D557" s="163"/>
      <c r="E557" s="131">
        <v>2017</v>
      </c>
      <c r="F557" s="83">
        <f t="shared" si="38"/>
        <v>0</v>
      </c>
      <c r="G557" s="16"/>
      <c r="H557" s="16"/>
      <c r="I557" s="16"/>
      <c r="J557" s="94"/>
      <c r="K557" s="176"/>
    </row>
    <row r="558" spans="1:11" x14ac:dyDescent="0.2">
      <c r="A558" s="150"/>
      <c r="B558" s="378"/>
      <c r="C558" s="171"/>
      <c r="D558" s="163"/>
      <c r="E558" s="131">
        <v>2018</v>
      </c>
      <c r="F558" s="83">
        <f t="shared" si="38"/>
        <v>56</v>
      </c>
      <c r="G558" s="16"/>
      <c r="H558" s="16"/>
      <c r="I558" s="16">
        <v>56</v>
      </c>
      <c r="J558" s="94"/>
      <c r="K558" s="176"/>
    </row>
    <row r="559" spans="1:11" x14ac:dyDescent="0.2">
      <c r="A559" s="150"/>
      <c r="B559" s="378"/>
      <c r="C559" s="171"/>
      <c r="D559" s="163"/>
      <c r="E559" s="131">
        <v>2019</v>
      </c>
      <c r="F559" s="83">
        <f t="shared" si="38"/>
        <v>59</v>
      </c>
      <c r="G559" s="16"/>
      <c r="H559" s="16"/>
      <c r="I559" s="16">
        <v>59</v>
      </c>
      <c r="J559" s="94"/>
      <c r="K559" s="176"/>
    </row>
    <row r="560" spans="1:11" x14ac:dyDescent="0.2">
      <c r="A560" s="150"/>
      <c r="B560" s="378"/>
      <c r="C560" s="171"/>
      <c r="D560" s="163"/>
      <c r="E560" s="131">
        <v>2020</v>
      </c>
      <c r="F560" s="83">
        <f t="shared" si="38"/>
        <v>62</v>
      </c>
      <c r="G560" s="16"/>
      <c r="H560" s="16"/>
      <c r="I560" s="16">
        <v>62</v>
      </c>
      <c r="J560" s="94"/>
      <c r="K560" s="176"/>
    </row>
    <row r="561" spans="1:11" ht="13.5" thickBot="1" x14ac:dyDescent="0.25">
      <c r="A561" s="150"/>
      <c r="B561" s="379"/>
      <c r="C561" s="171"/>
      <c r="D561" s="164"/>
      <c r="E561" s="26" t="s">
        <v>18</v>
      </c>
      <c r="F561" s="23">
        <f>SUM(F555:F560)</f>
        <v>274</v>
      </c>
      <c r="G561" s="16"/>
      <c r="H561" s="16"/>
      <c r="I561" s="15">
        <f>SUM(I555:I560)</f>
        <v>274</v>
      </c>
      <c r="J561" s="94"/>
      <c r="K561" s="176"/>
    </row>
    <row r="562" spans="1:11" x14ac:dyDescent="0.2">
      <c r="A562" s="149" t="s">
        <v>123</v>
      </c>
      <c r="B562" s="159" t="s">
        <v>124</v>
      </c>
      <c r="C562" s="175" t="s">
        <v>75</v>
      </c>
      <c r="D562" s="162" t="s">
        <v>257</v>
      </c>
      <c r="E562" s="131">
        <v>2015</v>
      </c>
      <c r="F562" s="83">
        <f t="shared" ref="F562:F567" si="39">SUM(G562:I562)</f>
        <v>40.6</v>
      </c>
      <c r="G562" s="16"/>
      <c r="H562" s="16"/>
      <c r="I562" s="16">
        <v>40.6</v>
      </c>
      <c r="J562" s="16"/>
      <c r="K562" s="176"/>
    </row>
    <row r="563" spans="1:11" x14ac:dyDescent="0.2">
      <c r="A563" s="150"/>
      <c r="B563" s="160"/>
      <c r="C563" s="171"/>
      <c r="D563" s="163"/>
      <c r="E563" s="131">
        <v>2016</v>
      </c>
      <c r="F563" s="83">
        <f t="shared" si="39"/>
        <v>50</v>
      </c>
      <c r="G563" s="16"/>
      <c r="H563" s="16"/>
      <c r="I563" s="16">
        <v>50</v>
      </c>
      <c r="J563" s="16"/>
      <c r="K563" s="176"/>
    </row>
    <row r="564" spans="1:11" x14ac:dyDescent="0.2">
      <c r="A564" s="150"/>
      <c r="B564" s="160"/>
      <c r="C564" s="171"/>
      <c r="D564" s="163"/>
      <c r="E564" s="131">
        <v>2017</v>
      </c>
      <c r="F564" s="83">
        <f t="shared" si="39"/>
        <v>0</v>
      </c>
      <c r="G564" s="16"/>
      <c r="H564" s="16"/>
      <c r="I564" s="16">
        <v>0</v>
      </c>
      <c r="J564" s="16"/>
      <c r="K564" s="176"/>
    </row>
    <row r="565" spans="1:11" x14ac:dyDescent="0.2">
      <c r="A565" s="150"/>
      <c r="B565" s="160"/>
      <c r="C565" s="171"/>
      <c r="D565" s="163"/>
      <c r="E565" s="131">
        <v>2018</v>
      </c>
      <c r="F565" s="83">
        <f t="shared" si="39"/>
        <v>54</v>
      </c>
      <c r="G565" s="16"/>
      <c r="H565" s="16"/>
      <c r="I565" s="16">
        <v>54</v>
      </c>
      <c r="J565" s="16"/>
      <c r="K565" s="176"/>
    </row>
    <row r="566" spans="1:11" x14ac:dyDescent="0.2">
      <c r="A566" s="150"/>
      <c r="B566" s="160"/>
      <c r="C566" s="171"/>
      <c r="D566" s="163"/>
      <c r="E566" s="131">
        <v>2019</v>
      </c>
      <c r="F566" s="83">
        <f t="shared" si="39"/>
        <v>56</v>
      </c>
      <c r="G566" s="16"/>
      <c r="H566" s="16"/>
      <c r="I566" s="16">
        <v>56</v>
      </c>
      <c r="J566" s="16"/>
      <c r="K566" s="176"/>
    </row>
    <row r="567" spans="1:11" x14ac:dyDescent="0.2">
      <c r="A567" s="150"/>
      <c r="B567" s="160"/>
      <c r="C567" s="171"/>
      <c r="D567" s="163"/>
      <c r="E567" s="131">
        <v>2020</v>
      </c>
      <c r="F567" s="83">
        <f t="shared" si="39"/>
        <v>58</v>
      </c>
      <c r="G567" s="16"/>
      <c r="H567" s="16"/>
      <c r="I567" s="16">
        <v>58</v>
      </c>
      <c r="J567" s="16"/>
      <c r="K567" s="176"/>
    </row>
    <row r="568" spans="1:11" ht="13.5" thickBot="1" x14ac:dyDescent="0.25">
      <c r="A568" s="150"/>
      <c r="B568" s="376"/>
      <c r="C568" s="171"/>
      <c r="D568" s="164"/>
      <c r="E568" s="26" t="s">
        <v>18</v>
      </c>
      <c r="F568" s="23">
        <f>SUM(F562:F567)</f>
        <v>258.60000000000002</v>
      </c>
      <c r="G568" s="15"/>
      <c r="H568" s="15"/>
      <c r="I568" s="15">
        <f>SUM(I562:I567)</f>
        <v>258.60000000000002</v>
      </c>
      <c r="J568" s="16"/>
      <c r="K568" s="176"/>
    </row>
    <row r="569" spans="1:11" x14ac:dyDescent="0.2">
      <c r="A569" s="149" t="s">
        <v>125</v>
      </c>
      <c r="B569" s="159" t="s">
        <v>126</v>
      </c>
      <c r="C569" s="175" t="s">
        <v>75</v>
      </c>
      <c r="D569" s="162" t="s">
        <v>257</v>
      </c>
      <c r="E569" s="131">
        <v>2015</v>
      </c>
      <c r="F569" s="83">
        <f t="shared" ref="F569:F574" si="40">SUM(G569:I569)</f>
        <v>5.0999999999999996</v>
      </c>
      <c r="G569" s="16"/>
      <c r="H569" s="16"/>
      <c r="I569" s="16">
        <v>5.0999999999999996</v>
      </c>
      <c r="J569" s="16"/>
      <c r="K569" s="176"/>
    </row>
    <row r="570" spans="1:11" x14ac:dyDescent="0.2">
      <c r="A570" s="150"/>
      <c r="B570" s="160"/>
      <c r="C570" s="171"/>
      <c r="D570" s="163"/>
      <c r="E570" s="131">
        <v>2016</v>
      </c>
      <c r="F570" s="83">
        <f t="shared" si="40"/>
        <v>5.3</v>
      </c>
      <c r="G570" s="16"/>
      <c r="H570" s="16"/>
      <c r="I570" s="16">
        <v>5.3</v>
      </c>
      <c r="J570" s="16"/>
      <c r="K570" s="176"/>
    </row>
    <row r="571" spans="1:11" x14ac:dyDescent="0.2">
      <c r="A571" s="150"/>
      <c r="B571" s="160"/>
      <c r="C571" s="171"/>
      <c r="D571" s="163"/>
      <c r="E571" s="131">
        <v>2017</v>
      </c>
      <c r="F571" s="83">
        <f t="shared" si="40"/>
        <v>0</v>
      </c>
      <c r="G571" s="16"/>
      <c r="H571" s="16"/>
      <c r="I571" s="16">
        <v>0</v>
      </c>
      <c r="J571" s="16"/>
      <c r="K571" s="176"/>
    </row>
    <row r="572" spans="1:11" x14ac:dyDescent="0.2">
      <c r="A572" s="150"/>
      <c r="B572" s="160"/>
      <c r="C572" s="171"/>
      <c r="D572" s="163"/>
      <c r="E572" s="131">
        <v>2018</v>
      </c>
      <c r="F572" s="83">
        <f t="shared" si="40"/>
        <v>5.7</v>
      </c>
      <c r="G572" s="16"/>
      <c r="H572" s="16"/>
      <c r="I572" s="16">
        <v>5.7</v>
      </c>
      <c r="J572" s="16"/>
      <c r="K572" s="176"/>
    </row>
    <row r="573" spans="1:11" x14ac:dyDescent="0.2">
      <c r="A573" s="150"/>
      <c r="B573" s="160"/>
      <c r="C573" s="171"/>
      <c r="D573" s="163"/>
      <c r="E573" s="131">
        <v>2019</v>
      </c>
      <c r="F573" s="83">
        <f t="shared" si="40"/>
        <v>5.9</v>
      </c>
      <c r="G573" s="16"/>
      <c r="H573" s="16"/>
      <c r="I573" s="16">
        <v>5.9</v>
      </c>
      <c r="J573" s="16"/>
      <c r="K573" s="176"/>
    </row>
    <row r="574" spans="1:11" x14ac:dyDescent="0.2">
      <c r="A574" s="150"/>
      <c r="B574" s="160"/>
      <c r="C574" s="171"/>
      <c r="D574" s="163"/>
      <c r="E574" s="131">
        <v>2020</v>
      </c>
      <c r="F574" s="83">
        <f t="shared" si="40"/>
        <v>6.1</v>
      </c>
      <c r="G574" s="16"/>
      <c r="H574" s="16"/>
      <c r="I574" s="16">
        <v>6.1</v>
      </c>
      <c r="J574" s="16"/>
      <c r="K574" s="176"/>
    </row>
    <row r="575" spans="1:11" ht="13.5" thickBot="1" x14ac:dyDescent="0.25">
      <c r="A575" s="150"/>
      <c r="B575" s="376"/>
      <c r="C575" s="172"/>
      <c r="D575" s="164"/>
      <c r="E575" s="26" t="s">
        <v>18</v>
      </c>
      <c r="F575" s="23">
        <f>SUM(F569:F574)</f>
        <v>28.1</v>
      </c>
      <c r="G575" s="15"/>
      <c r="H575" s="15"/>
      <c r="I575" s="15">
        <f>SUM(I569:I574)</f>
        <v>28.1</v>
      </c>
      <c r="J575" s="16"/>
      <c r="K575" s="176"/>
    </row>
    <row r="576" spans="1:11" x14ac:dyDescent="0.2">
      <c r="A576" s="149" t="s">
        <v>280</v>
      </c>
      <c r="B576" s="159" t="s">
        <v>128</v>
      </c>
      <c r="C576" s="175" t="s">
        <v>75</v>
      </c>
      <c r="D576" s="162" t="s">
        <v>257</v>
      </c>
      <c r="E576" s="131">
        <v>2015</v>
      </c>
      <c r="F576" s="83">
        <f t="shared" ref="F576:F581" si="41">SUM(G576:I576)</f>
        <v>4.5</v>
      </c>
      <c r="G576" s="16"/>
      <c r="H576" s="16"/>
      <c r="I576" s="16">
        <v>4.5</v>
      </c>
      <c r="J576" s="16"/>
      <c r="K576" s="176"/>
    </row>
    <row r="577" spans="1:22" x14ac:dyDescent="0.2">
      <c r="A577" s="150"/>
      <c r="B577" s="160"/>
      <c r="C577" s="171"/>
      <c r="D577" s="163"/>
      <c r="E577" s="131">
        <v>2016</v>
      </c>
      <c r="F577" s="83">
        <f t="shared" si="41"/>
        <v>4.5999999999999996</v>
      </c>
      <c r="G577" s="16"/>
      <c r="H577" s="16"/>
      <c r="I577" s="16">
        <v>4.5999999999999996</v>
      </c>
      <c r="J577" s="16"/>
      <c r="K577" s="176"/>
    </row>
    <row r="578" spans="1:22" x14ac:dyDescent="0.2">
      <c r="A578" s="150"/>
      <c r="B578" s="160"/>
      <c r="C578" s="171"/>
      <c r="D578" s="163"/>
      <c r="E578" s="131">
        <v>2017</v>
      </c>
      <c r="F578" s="83">
        <f t="shared" si="41"/>
        <v>0</v>
      </c>
      <c r="G578" s="16"/>
      <c r="H578" s="16"/>
      <c r="I578" s="16">
        <v>0</v>
      </c>
      <c r="J578" s="16"/>
      <c r="K578" s="176"/>
    </row>
    <row r="579" spans="1:22" x14ac:dyDescent="0.2">
      <c r="A579" s="150"/>
      <c r="B579" s="160"/>
      <c r="C579" s="171"/>
      <c r="D579" s="163"/>
      <c r="E579" s="131">
        <v>2018</v>
      </c>
      <c r="F579" s="83">
        <f t="shared" si="41"/>
        <v>4.8</v>
      </c>
      <c r="G579" s="16"/>
      <c r="H579" s="16"/>
      <c r="I579" s="16">
        <v>4.8</v>
      </c>
      <c r="J579" s="16"/>
      <c r="K579" s="176"/>
    </row>
    <row r="580" spans="1:22" x14ac:dyDescent="0.2">
      <c r="A580" s="150"/>
      <c r="B580" s="160"/>
      <c r="C580" s="171"/>
      <c r="D580" s="163"/>
      <c r="E580" s="131">
        <v>2019</v>
      </c>
      <c r="F580" s="83">
        <f t="shared" si="41"/>
        <v>4.9000000000000004</v>
      </c>
      <c r="G580" s="16"/>
      <c r="H580" s="16"/>
      <c r="I580" s="16">
        <v>4.9000000000000004</v>
      </c>
      <c r="J580" s="16"/>
      <c r="K580" s="176"/>
    </row>
    <row r="581" spans="1:22" x14ac:dyDescent="0.2">
      <c r="A581" s="150"/>
      <c r="B581" s="160"/>
      <c r="C581" s="171"/>
      <c r="D581" s="163"/>
      <c r="E581" s="131">
        <v>2020</v>
      </c>
      <c r="F581" s="83">
        <f t="shared" si="41"/>
        <v>5</v>
      </c>
      <c r="G581" s="16"/>
      <c r="H581" s="16"/>
      <c r="I581" s="16">
        <v>5</v>
      </c>
      <c r="J581" s="16"/>
      <c r="K581" s="176"/>
    </row>
    <row r="582" spans="1:22" ht="13.5" thickBot="1" x14ac:dyDescent="0.25">
      <c r="A582" s="150"/>
      <c r="B582" s="376"/>
      <c r="C582" s="172"/>
      <c r="D582" s="164"/>
      <c r="E582" s="26" t="s">
        <v>18</v>
      </c>
      <c r="F582" s="23">
        <f>SUM(F576:F581)</f>
        <v>23.799999999999997</v>
      </c>
      <c r="G582" s="15"/>
      <c r="H582" s="15"/>
      <c r="I582" s="15">
        <f>SUM(I576:I581)</f>
        <v>23.799999999999997</v>
      </c>
      <c r="J582" s="16"/>
      <c r="K582" s="170"/>
    </row>
    <row r="583" spans="1:22" x14ac:dyDescent="0.2">
      <c r="A583" s="149" t="s">
        <v>127</v>
      </c>
      <c r="B583" s="159" t="s">
        <v>0</v>
      </c>
      <c r="C583" s="175" t="s">
        <v>75</v>
      </c>
      <c r="D583" s="162" t="s">
        <v>257</v>
      </c>
      <c r="E583" s="131">
        <v>2015</v>
      </c>
      <c r="F583" s="84"/>
      <c r="G583" s="2"/>
      <c r="H583" s="2"/>
      <c r="I583" s="2"/>
      <c r="J583" s="2"/>
      <c r="K583" s="162" t="s">
        <v>221</v>
      </c>
    </row>
    <row r="584" spans="1:22" x14ac:dyDescent="0.2">
      <c r="A584" s="150"/>
      <c r="B584" s="160"/>
      <c r="C584" s="171"/>
      <c r="D584" s="163"/>
      <c r="E584" s="131">
        <v>2016</v>
      </c>
      <c r="F584" s="84"/>
      <c r="G584" s="2"/>
      <c r="H584" s="2"/>
      <c r="I584" s="2"/>
      <c r="J584" s="2"/>
      <c r="K584" s="176"/>
    </row>
    <row r="585" spans="1:22" x14ac:dyDescent="0.2">
      <c r="A585" s="150"/>
      <c r="B585" s="160"/>
      <c r="C585" s="171"/>
      <c r="D585" s="163"/>
      <c r="E585" s="131">
        <v>2017</v>
      </c>
      <c r="F585" s="84"/>
      <c r="G585" s="2"/>
      <c r="H585" s="2"/>
      <c r="I585" s="2"/>
      <c r="J585" s="2"/>
      <c r="K585" s="176"/>
    </row>
    <row r="586" spans="1:22" x14ac:dyDescent="0.2">
      <c r="A586" s="150"/>
      <c r="B586" s="160"/>
      <c r="C586" s="171"/>
      <c r="D586" s="163"/>
      <c r="E586" s="131">
        <v>2018</v>
      </c>
      <c r="F586" s="84"/>
      <c r="G586" s="2"/>
      <c r="H586" s="2"/>
      <c r="I586" s="2"/>
      <c r="J586" s="2"/>
      <c r="K586" s="176"/>
    </row>
    <row r="587" spans="1:22" x14ac:dyDescent="0.2">
      <c r="A587" s="150"/>
      <c r="B587" s="160"/>
      <c r="C587" s="171"/>
      <c r="D587" s="163"/>
      <c r="E587" s="131">
        <v>2019</v>
      </c>
      <c r="F587" s="84"/>
      <c r="G587" s="2"/>
      <c r="H587" s="2"/>
      <c r="I587" s="2"/>
      <c r="J587" s="2"/>
      <c r="K587" s="176"/>
    </row>
    <row r="588" spans="1:22" x14ac:dyDescent="0.2">
      <c r="A588" s="150"/>
      <c r="B588" s="160"/>
      <c r="C588" s="171"/>
      <c r="D588" s="163"/>
      <c r="E588" s="131">
        <v>2020</v>
      </c>
      <c r="F588" s="84"/>
      <c r="G588" s="2"/>
      <c r="H588" s="2"/>
      <c r="I588" s="2"/>
      <c r="J588" s="2"/>
      <c r="K588" s="176"/>
    </row>
    <row r="589" spans="1:22" x14ac:dyDescent="0.2">
      <c r="A589" s="158"/>
      <c r="B589" s="160"/>
      <c r="C589" s="172"/>
      <c r="D589" s="164"/>
      <c r="E589" s="26" t="s">
        <v>18</v>
      </c>
      <c r="F589" s="84"/>
      <c r="G589" s="2"/>
      <c r="H589" s="2"/>
      <c r="I589" s="2"/>
      <c r="J589" s="2"/>
      <c r="K589" s="170"/>
    </row>
    <row r="590" spans="1:22" ht="25.5" x14ac:dyDescent="0.2">
      <c r="A590" s="185" t="s">
        <v>238</v>
      </c>
      <c r="B590" s="192"/>
      <c r="C590" s="192"/>
      <c r="D590" s="192"/>
      <c r="E590" s="65" t="s">
        <v>75</v>
      </c>
      <c r="F590" s="22">
        <f>SUM(G590:I590)</f>
        <v>2389.5</v>
      </c>
      <c r="G590" s="22"/>
      <c r="H590" s="22"/>
      <c r="I590" s="22">
        <f>I582+I575+I568+I561+I554+I547</f>
        <v>2389.5</v>
      </c>
      <c r="J590" s="20"/>
      <c r="K590" s="95"/>
    </row>
    <row r="591" spans="1:22" ht="47.25" x14ac:dyDescent="0.25">
      <c r="A591" s="259" t="s">
        <v>251</v>
      </c>
      <c r="B591" s="370"/>
      <c r="C591" s="370"/>
      <c r="D591" s="371"/>
      <c r="E591" s="108" t="s">
        <v>75</v>
      </c>
      <c r="F591" s="108" t="s">
        <v>18</v>
      </c>
      <c r="G591" s="109" t="s">
        <v>10</v>
      </c>
      <c r="H591" s="101" t="s">
        <v>11</v>
      </c>
      <c r="I591" s="101" t="s">
        <v>12</v>
      </c>
      <c r="J591" s="101" t="s">
        <v>13</v>
      </c>
      <c r="K591" s="61"/>
    </row>
    <row r="592" spans="1:22" ht="16.5" thickBot="1" x14ac:dyDescent="0.3">
      <c r="A592" s="130"/>
      <c r="B592" s="132"/>
      <c r="C592" s="132"/>
      <c r="D592" s="132"/>
      <c r="E592" s="110"/>
      <c r="F592" s="25">
        <f>SUM(G592:J592)</f>
        <v>86571.9</v>
      </c>
      <c r="G592" s="25"/>
      <c r="H592" s="13">
        <f>H473</f>
        <v>80312</v>
      </c>
      <c r="I592" s="13">
        <f>I590+I538+I521+I504+I473</f>
        <v>6259.9</v>
      </c>
      <c r="J592" s="96"/>
      <c r="K592" s="61"/>
      <c r="L592" s="37"/>
      <c r="M592" s="37"/>
      <c r="N592" s="37"/>
      <c r="O592" s="37"/>
      <c r="P592" s="37"/>
      <c r="Q592" s="37"/>
      <c r="R592" s="37"/>
      <c r="S592" s="37"/>
      <c r="T592" s="37"/>
      <c r="U592" s="37"/>
      <c r="V592" s="37"/>
    </row>
    <row r="593" spans="1:35" ht="18" x14ac:dyDescent="0.2">
      <c r="A593" s="296" t="s">
        <v>269</v>
      </c>
      <c r="B593" s="297"/>
      <c r="C593" s="297"/>
      <c r="D593" s="297"/>
      <c r="E593" s="297"/>
      <c r="F593" s="297"/>
      <c r="G593" s="297"/>
      <c r="H593" s="297"/>
      <c r="I593" s="297"/>
      <c r="J593" s="297"/>
      <c r="K593" s="297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48"/>
      <c r="X593" s="48"/>
      <c r="Y593" s="48"/>
      <c r="Z593" s="48"/>
      <c r="AA593" s="48"/>
      <c r="AB593" s="48"/>
      <c r="AC593" s="48"/>
      <c r="AD593" s="48"/>
      <c r="AE593" s="48"/>
      <c r="AF593" s="48"/>
      <c r="AG593" s="48"/>
      <c r="AH593" s="48"/>
      <c r="AI593" s="49"/>
    </row>
    <row r="594" spans="1:35" ht="16.5" thickBot="1" x14ac:dyDescent="0.25">
      <c r="A594" s="396" t="s">
        <v>252</v>
      </c>
      <c r="B594" s="397"/>
      <c r="C594" s="397"/>
      <c r="D594" s="397"/>
      <c r="E594" s="336"/>
      <c r="F594" s="336"/>
      <c r="G594" s="336"/>
      <c r="H594" s="336"/>
      <c r="I594" s="336"/>
      <c r="J594" s="336"/>
      <c r="K594" s="336"/>
      <c r="L594" s="68"/>
      <c r="M594" s="68"/>
      <c r="N594" s="68"/>
      <c r="O594" s="68"/>
      <c r="P594" s="68"/>
      <c r="Q594" s="68"/>
      <c r="R594" s="68"/>
      <c r="S594" s="68"/>
      <c r="T594" s="68"/>
      <c r="U594" s="68"/>
      <c r="V594" s="68"/>
      <c r="W594" s="97"/>
      <c r="X594" s="97"/>
      <c r="Y594" s="97"/>
      <c r="Z594" s="97"/>
      <c r="AA594" s="97"/>
      <c r="AB594" s="97"/>
      <c r="AC594" s="97"/>
      <c r="AD594" s="97"/>
      <c r="AE594" s="97"/>
      <c r="AF594" s="97"/>
      <c r="AG594" s="97"/>
      <c r="AH594" s="97"/>
      <c r="AI594" s="98"/>
    </row>
    <row r="595" spans="1:35" x14ac:dyDescent="0.2">
      <c r="A595" s="173" t="s">
        <v>129</v>
      </c>
      <c r="B595" s="151" t="s">
        <v>130</v>
      </c>
      <c r="C595" s="153" t="s">
        <v>75</v>
      </c>
      <c r="D595" s="162" t="s">
        <v>257</v>
      </c>
      <c r="E595" s="131">
        <v>2015</v>
      </c>
      <c r="F595" s="99">
        <f t="shared" ref="F595:F600" si="42">SUM(G595:J595)</f>
        <v>4484.7</v>
      </c>
      <c r="G595" s="16"/>
      <c r="H595" s="16"/>
      <c r="I595" s="16">
        <v>4092.2</v>
      </c>
      <c r="J595" s="16">
        <v>392.5</v>
      </c>
      <c r="K595" s="162" t="s">
        <v>218</v>
      </c>
      <c r="L595" s="37"/>
      <c r="M595" s="37"/>
      <c r="N595" s="37"/>
      <c r="O595" s="37"/>
      <c r="P595" s="37"/>
      <c r="Q595" s="37"/>
      <c r="R595" s="37"/>
      <c r="S595" s="37"/>
      <c r="T595" s="37"/>
      <c r="U595" s="37"/>
      <c r="V595" s="37"/>
    </row>
    <row r="596" spans="1:35" x14ac:dyDescent="0.2">
      <c r="A596" s="174"/>
      <c r="B596" s="152"/>
      <c r="C596" s="154"/>
      <c r="D596" s="163"/>
      <c r="E596" s="131">
        <v>2016</v>
      </c>
      <c r="F596" s="99">
        <f t="shared" si="42"/>
        <v>4082.1000000000004</v>
      </c>
      <c r="G596" s="16"/>
      <c r="H596" s="16"/>
      <c r="I596" s="16">
        <f>3801.5+222.3</f>
        <v>4023.8</v>
      </c>
      <c r="J596" s="16">
        <v>58.3</v>
      </c>
      <c r="K596" s="176"/>
      <c r="L596" s="37"/>
      <c r="M596" s="37"/>
      <c r="N596" s="37"/>
      <c r="O596" s="37"/>
      <c r="P596" s="37"/>
      <c r="Q596" s="37"/>
      <c r="R596" s="37"/>
      <c r="S596" s="37"/>
      <c r="T596" s="37"/>
      <c r="U596" s="37"/>
      <c r="V596" s="37"/>
    </row>
    <row r="597" spans="1:35" x14ac:dyDescent="0.2">
      <c r="A597" s="174"/>
      <c r="B597" s="152"/>
      <c r="C597" s="154"/>
      <c r="D597" s="163"/>
      <c r="E597" s="131">
        <v>2017</v>
      </c>
      <c r="F597" s="99">
        <f t="shared" si="42"/>
        <v>4054</v>
      </c>
      <c r="G597" s="16"/>
      <c r="H597" s="16"/>
      <c r="I597" s="16">
        <v>3992.8</v>
      </c>
      <c r="J597" s="16">
        <v>61.2</v>
      </c>
      <c r="K597" s="176"/>
    </row>
    <row r="598" spans="1:35" x14ac:dyDescent="0.2">
      <c r="A598" s="174"/>
      <c r="B598" s="152"/>
      <c r="C598" s="154"/>
      <c r="D598" s="163"/>
      <c r="E598" s="131">
        <v>2018</v>
      </c>
      <c r="F598" s="99">
        <f t="shared" si="42"/>
        <v>327</v>
      </c>
      <c r="G598" s="16"/>
      <c r="H598" s="16"/>
      <c r="I598" s="16">
        <v>262.7</v>
      </c>
      <c r="J598" s="16">
        <v>64.3</v>
      </c>
      <c r="K598" s="176"/>
    </row>
    <row r="599" spans="1:35" x14ac:dyDescent="0.2">
      <c r="A599" s="174"/>
      <c r="B599" s="152"/>
      <c r="C599" s="154"/>
      <c r="D599" s="163"/>
      <c r="E599" s="131">
        <v>2019</v>
      </c>
      <c r="F599" s="99">
        <f t="shared" si="42"/>
        <v>343.3</v>
      </c>
      <c r="G599" s="16"/>
      <c r="H599" s="16"/>
      <c r="I599" s="16">
        <v>275.8</v>
      </c>
      <c r="J599" s="16">
        <v>67.5</v>
      </c>
      <c r="K599" s="176"/>
    </row>
    <row r="600" spans="1:35" x14ac:dyDescent="0.2">
      <c r="A600" s="174"/>
      <c r="B600" s="152"/>
      <c r="C600" s="154"/>
      <c r="D600" s="163"/>
      <c r="E600" s="131">
        <v>2020</v>
      </c>
      <c r="F600" s="99">
        <f t="shared" si="42"/>
        <v>360.5</v>
      </c>
      <c r="G600" s="16"/>
      <c r="H600" s="16"/>
      <c r="I600" s="16">
        <v>289.60000000000002</v>
      </c>
      <c r="J600" s="16">
        <v>70.900000000000006</v>
      </c>
      <c r="K600" s="176"/>
    </row>
    <row r="601" spans="1:35" ht="13.5" thickBot="1" x14ac:dyDescent="0.25">
      <c r="A601" s="174"/>
      <c r="B601" s="152"/>
      <c r="C601" s="154"/>
      <c r="D601" s="164"/>
      <c r="E601" s="26" t="s">
        <v>18</v>
      </c>
      <c r="F601" s="22">
        <f>SUM(F595:F600)</f>
        <v>13651.599999999999</v>
      </c>
      <c r="G601" s="22">
        <f>SUM(G595:G600)</f>
        <v>0</v>
      </c>
      <c r="H601" s="22">
        <f>SUM(H595:H600)</f>
        <v>0</v>
      </c>
      <c r="I601" s="22">
        <f>SUM(I595:I600)</f>
        <v>12936.9</v>
      </c>
      <c r="J601" s="22">
        <f>SUM(J595:J600)</f>
        <v>714.69999999999993</v>
      </c>
      <c r="K601" s="176"/>
    </row>
    <row r="602" spans="1:35" x14ac:dyDescent="0.2">
      <c r="A602" s="398" t="s">
        <v>131</v>
      </c>
      <c r="B602" s="401" t="s">
        <v>132</v>
      </c>
      <c r="C602" s="153" t="s">
        <v>75</v>
      </c>
      <c r="D602" s="162" t="s">
        <v>257</v>
      </c>
      <c r="E602" s="131">
        <v>2015</v>
      </c>
      <c r="F602" s="99">
        <f t="shared" ref="F602:F607" si="43">SUM(G602:J602)</f>
        <v>448.20000000000005</v>
      </c>
      <c r="G602" s="16"/>
      <c r="H602" s="16"/>
      <c r="I602" s="16">
        <v>251.4</v>
      </c>
      <c r="J602" s="16">
        <v>196.8</v>
      </c>
      <c r="K602" s="176"/>
    </row>
    <row r="603" spans="1:35" x14ac:dyDescent="0.2">
      <c r="A603" s="399"/>
      <c r="B603" s="402"/>
      <c r="C603" s="154"/>
      <c r="D603" s="163"/>
      <c r="E603" s="131">
        <v>2016</v>
      </c>
      <c r="F603" s="99">
        <f t="shared" si="43"/>
        <v>477.9</v>
      </c>
      <c r="G603" s="16"/>
      <c r="H603" s="16"/>
      <c r="I603" s="16">
        <f>414.2-142.9</f>
        <v>271.29999999999995</v>
      </c>
      <c r="J603" s="16">
        <v>206.6</v>
      </c>
      <c r="K603" s="176"/>
    </row>
    <row r="604" spans="1:35" x14ac:dyDescent="0.2">
      <c r="A604" s="399"/>
      <c r="B604" s="402"/>
      <c r="C604" s="154"/>
      <c r="D604" s="163"/>
      <c r="E604" s="131">
        <v>2017</v>
      </c>
      <c r="F604" s="99">
        <f t="shared" si="43"/>
        <v>656.9</v>
      </c>
      <c r="G604" s="16"/>
      <c r="H604" s="16"/>
      <c r="I604" s="16">
        <v>440</v>
      </c>
      <c r="J604" s="16">
        <v>216.9</v>
      </c>
      <c r="K604" s="176"/>
    </row>
    <row r="605" spans="1:35" x14ac:dyDescent="0.2">
      <c r="A605" s="399"/>
      <c r="B605" s="402"/>
      <c r="C605" s="154"/>
      <c r="D605" s="163"/>
      <c r="E605" s="131">
        <v>2018</v>
      </c>
      <c r="F605" s="99">
        <f t="shared" si="43"/>
        <v>706.2</v>
      </c>
      <c r="G605" s="16"/>
      <c r="H605" s="16"/>
      <c r="I605" s="16">
        <v>478.5</v>
      </c>
      <c r="J605" s="16">
        <v>227.7</v>
      </c>
      <c r="K605" s="176"/>
    </row>
    <row r="606" spans="1:35" x14ac:dyDescent="0.2">
      <c r="A606" s="399"/>
      <c r="B606" s="402"/>
      <c r="C606" s="154"/>
      <c r="D606" s="163"/>
      <c r="E606" s="131">
        <v>2019</v>
      </c>
      <c r="F606" s="99">
        <f t="shared" si="43"/>
        <v>741.5</v>
      </c>
      <c r="G606" s="16"/>
      <c r="H606" s="16"/>
      <c r="I606" s="16">
        <v>502.4</v>
      </c>
      <c r="J606" s="16">
        <v>239.1</v>
      </c>
      <c r="K606" s="176"/>
    </row>
    <row r="607" spans="1:35" x14ac:dyDescent="0.2">
      <c r="A607" s="399"/>
      <c r="B607" s="402"/>
      <c r="C607" s="154"/>
      <c r="D607" s="163"/>
      <c r="E607" s="131">
        <v>2020</v>
      </c>
      <c r="F607" s="99">
        <f t="shared" si="43"/>
        <v>778.5</v>
      </c>
      <c r="G607" s="16"/>
      <c r="H607" s="16"/>
      <c r="I607" s="16">
        <v>527.5</v>
      </c>
      <c r="J607" s="16">
        <v>251</v>
      </c>
      <c r="K607" s="176"/>
    </row>
    <row r="608" spans="1:35" ht="13.5" thickBot="1" x14ac:dyDescent="0.25">
      <c r="A608" s="400"/>
      <c r="B608" s="402"/>
      <c r="C608" s="161"/>
      <c r="D608" s="164"/>
      <c r="E608" s="26" t="s">
        <v>18</v>
      </c>
      <c r="F608" s="22">
        <f>SUM(F602:F607)</f>
        <v>3809.2</v>
      </c>
      <c r="G608" s="22">
        <f>SUM(G602:G607)</f>
        <v>0</v>
      </c>
      <c r="H608" s="22">
        <f>SUM(H602:H607)</f>
        <v>0</v>
      </c>
      <c r="I608" s="22">
        <f>SUM(I602:I607)</f>
        <v>2471.1</v>
      </c>
      <c r="J608" s="22">
        <f>SUM(J602:J607)</f>
        <v>1338.1</v>
      </c>
      <c r="K608" s="176"/>
    </row>
    <row r="609" spans="1:11" x14ac:dyDescent="0.2">
      <c r="A609" s="393" t="s">
        <v>133</v>
      </c>
      <c r="B609" s="202" t="s">
        <v>134</v>
      </c>
      <c r="C609" s="153" t="s">
        <v>75</v>
      </c>
      <c r="D609" s="162" t="s">
        <v>257</v>
      </c>
      <c r="E609" s="131">
        <v>2015</v>
      </c>
      <c r="F609" s="99">
        <f t="shared" ref="F609:F614" si="44">SUM(G609:J609)</f>
        <v>402.69999999999993</v>
      </c>
      <c r="G609" s="16"/>
      <c r="H609" s="16"/>
      <c r="I609" s="16">
        <f>344.4+6.9</f>
        <v>351.29999999999995</v>
      </c>
      <c r="J609" s="16">
        <v>51.4</v>
      </c>
      <c r="K609" s="176"/>
    </row>
    <row r="610" spans="1:11" x14ac:dyDescent="0.2">
      <c r="A610" s="394"/>
      <c r="B610" s="202"/>
      <c r="C610" s="154"/>
      <c r="D610" s="163"/>
      <c r="E610" s="131">
        <v>2016</v>
      </c>
      <c r="F610" s="99">
        <f t="shared" si="44"/>
        <v>679.90000000000009</v>
      </c>
      <c r="G610" s="16"/>
      <c r="H610" s="16"/>
      <c r="I610" s="16">
        <f>363.3+262.6</f>
        <v>625.90000000000009</v>
      </c>
      <c r="J610" s="16">
        <v>54</v>
      </c>
      <c r="K610" s="176"/>
    </row>
    <row r="611" spans="1:11" x14ac:dyDescent="0.2">
      <c r="A611" s="394"/>
      <c r="B611" s="202"/>
      <c r="C611" s="154"/>
      <c r="D611" s="163"/>
      <c r="E611" s="131">
        <v>2017</v>
      </c>
      <c r="F611" s="99">
        <f t="shared" si="44"/>
        <v>440</v>
      </c>
      <c r="G611" s="16"/>
      <c r="H611" s="16"/>
      <c r="I611" s="16">
        <v>383.3</v>
      </c>
      <c r="J611" s="16">
        <v>56.7</v>
      </c>
      <c r="K611" s="176"/>
    </row>
    <row r="612" spans="1:11" x14ac:dyDescent="0.2">
      <c r="A612" s="394"/>
      <c r="B612" s="202"/>
      <c r="C612" s="154"/>
      <c r="D612" s="163"/>
      <c r="E612" s="131">
        <v>2018</v>
      </c>
      <c r="F612" s="99">
        <f t="shared" si="44"/>
        <v>453</v>
      </c>
      <c r="G612" s="16"/>
      <c r="H612" s="16"/>
      <c r="I612" s="16">
        <v>393.5</v>
      </c>
      <c r="J612" s="16">
        <v>59.5</v>
      </c>
      <c r="K612" s="176"/>
    </row>
    <row r="613" spans="1:11" x14ac:dyDescent="0.2">
      <c r="A613" s="394"/>
      <c r="B613" s="202"/>
      <c r="C613" s="154"/>
      <c r="D613" s="163"/>
      <c r="E613" s="131">
        <v>2019</v>
      </c>
      <c r="F613" s="99">
        <f t="shared" si="44"/>
        <v>475.7</v>
      </c>
      <c r="G613" s="16"/>
      <c r="H613" s="16"/>
      <c r="I613" s="16">
        <v>413.2</v>
      </c>
      <c r="J613" s="16">
        <v>62.5</v>
      </c>
      <c r="K613" s="176"/>
    </row>
    <row r="614" spans="1:11" x14ac:dyDescent="0.2">
      <c r="A614" s="394"/>
      <c r="B614" s="202"/>
      <c r="C614" s="154"/>
      <c r="D614" s="163"/>
      <c r="E614" s="131">
        <v>2020</v>
      </c>
      <c r="F614" s="99">
        <f t="shared" si="44"/>
        <v>492.7</v>
      </c>
      <c r="G614" s="16"/>
      <c r="H614" s="16"/>
      <c r="I614" s="16">
        <f>433.9-6.9</f>
        <v>427</v>
      </c>
      <c r="J614" s="16">
        <v>65.7</v>
      </c>
      <c r="K614" s="176"/>
    </row>
    <row r="615" spans="1:11" ht="13.5" thickBot="1" x14ac:dyDescent="0.25">
      <c r="A615" s="395"/>
      <c r="B615" s="202"/>
      <c r="C615" s="154"/>
      <c r="D615" s="164"/>
      <c r="E615" s="26" t="s">
        <v>18</v>
      </c>
      <c r="F615" s="22">
        <f>SUM(F609:F614)</f>
        <v>2943.9999999999995</v>
      </c>
      <c r="G615" s="22">
        <f>SUM(G609:G614)</f>
        <v>0</v>
      </c>
      <c r="H615" s="22">
        <f>SUM(H609:H614)</f>
        <v>0</v>
      </c>
      <c r="I615" s="22">
        <f>SUM(I609:I614)</f>
        <v>2594.1999999999998</v>
      </c>
      <c r="J615" s="22">
        <f>SUM(J609:J614)</f>
        <v>349.8</v>
      </c>
      <c r="K615" s="176"/>
    </row>
    <row r="616" spans="1:11" x14ac:dyDescent="0.2">
      <c r="A616" s="393" t="s">
        <v>135</v>
      </c>
      <c r="B616" s="159" t="s">
        <v>136</v>
      </c>
      <c r="C616" s="153" t="s">
        <v>75</v>
      </c>
      <c r="D616" s="162" t="s">
        <v>257</v>
      </c>
      <c r="E616" s="131">
        <v>2015</v>
      </c>
      <c r="F616" s="99">
        <f t="shared" ref="F616:F621" si="45">SUM(G616:J616)</f>
        <v>2265.3000000000002</v>
      </c>
      <c r="G616" s="16"/>
      <c r="H616" s="16"/>
      <c r="I616" s="16">
        <v>2265.3000000000002</v>
      </c>
      <c r="J616" s="16"/>
      <c r="K616" s="176"/>
    </row>
    <row r="617" spans="1:11" x14ac:dyDescent="0.2">
      <c r="A617" s="394"/>
      <c r="B617" s="160"/>
      <c r="C617" s="154"/>
      <c r="D617" s="163"/>
      <c r="E617" s="131">
        <v>2016</v>
      </c>
      <c r="F617" s="99">
        <f t="shared" si="45"/>
        <v>2244.6999999999998</v>
      </c>
      <c r="G617" s="16"/>
      <c r="H617" s="16"/>
      <c r="I617" s="16">
        <f>2295.7-51</f>
        <v>2244.6999999999998</v>
      </c>
      <c r="J617" s="16"/>
      <c r="K617" s="176"/>
    </row>
    <row r="618" spans="1:11" x14ac:dyDescent="0.2">
      <c r="A618" s="394"/>
      <c r="B618" s="160"/>
      <c r="C618" s="154"/>
      <c r="D618" s="163"/>
      <c r="E618" s="131">
        <v>2017</v>
      </c>
      <c r="F618" s="99">
        <f t="shared" si="45"/>
        <v>2576.6</v>
      </c>
      <c r="G618" s="16"/>
      <c r="H618" s="16"/>
      <c r="I618" s="16">
        <v>2576.6</v>
      </c>
      <c r="J618" s="16"/>
      <c r="K618" s="176"/>
    </row>
    <row r="619" spans="1:11" x14ac:dyDescent="0.2">
      <c r="A619" s="394"/>
      <c r="B619" s="160"/>
      <c r="C619" s="154"/>
      <c r="D619" s="163"/>
      <c r="E619" s="131">
        <v>2018</v>
      </c>
      <c r="F619" s="99">
        <f t="shared" si="45"/>
        <v>2703.3</v>
      </c>
      <c r="G619" s="16"/>
      <c r="H619" s="16"/>
      <c r="I619" s="16">
        <v>2703.3</v>
      </c>
      <c r="J619" s="16"/>
      <c r="K619" s="176"/>
    </row>
    <row r="620" spans="1:11" x14ac:dyDescent="0.2">
      <c r="A620" s="394"/>
      <c r="B620" s="160"/>
      <c r="C620" s="154"/>
      <c r="D620" s="163"/>
      <c r="E620" s="131">
        <v>2019</v>
      </c>
      <c r="F620" s="99">
        <f t="shared" si="45"/>
        <v>2841.6</v>
      </c>
      <c r="G620" s="16"/>
      <c r="H620" s="16"/>
      <c r="I620" s="16">
        <v>2841.6</v>
      </c>
      <c r="J620" s="16"/>
      <c r="K620" s="176"/>
    </row>
    <row r="621" spans="1:11" x14ac:dyDescent="0.2">
      <c r="A621" s="394"/>
      <c r="B621" s="160"/>
      <c r="C621" s="154"/>
      <c r="D621" s="163"/>
      <c r="E621" s="131">
        <v>2020</v>
      </c>
      <c r="F621" s="99">
        <f t="shared" si="45"/>
        <v>2990.4</v>
      </c>
      <c r="G621" s="16"/>
      <c r="H621" s="16"/>
      <c r="I621" s="16">
        <v>2990.4</v>
      </c>
      <c r="J621" s="16"/>
      <c r="K621" s="176"/>
    </row>
    <row r="622" spans="1:11" ht="13.5" thickBot="1" x14ac:dyDescent="0.25">
      <c r="A622" s="395"/>
      <c r="B622" s="376"/>
      <c r="C622" s="154"/>
      <c r="D622" s="164"/>
      <c r="E622" s="26" t="s">
        <v>18</v>
      </c>
      <c r="F622" s="22">
        <f>SUM(F616:F621)</f>
        <v>15621.900000000001</v>
      </c>
      <c r="G622" s="22">
        <f>SUM(G616:G621)</f>
        <v>0</v>
      </c>
      <c r="H622" s="22">
        <f>SUM(H616:H621)</f>
        <v>0</v>
      </c>
      <c r="I622" s="22">
        <f>SUM(I616:I621)</f>
        <v>15621.900000000001</v>
      </c>
      <c r="J622" s="99">
        <f>SUM(J616:J621)</f>
        <v>0</v>
      </c>
      <c r="K622" s="170"/>
    </row>
    <row r="623" spans="1:11" ht="25.5" x14ac:dyDescent="0.2">
      <c r="A623" s="185" t="s">
        <v>243</v>
      </c>
      <c r="B623" s="192"/>
      <c r="C623" s="192"/>
      <c r="D623" s="192"/>
      <c r="E623" s="65" t="s">
        <v>75</v>
      </c>
      <c r="F623" s="22">
        <f>F622+F615+F608+F601</f>
        <v>36026.699999999997</v>
      </c>
      <c r="G623" s="22">
        <f>G622+G615+G608+G601</f>
        <v>0</v>
      </c>
      <c r="H623" s="22">
        <f>H622+H615+H608+H601</f>
        <v>0</v>
      </c>
      <c r="I623" s="22">
        <f>I622+I615+I608+I601</f>
        <v>33624.1</v>
      </c>
      <c r="J623" s="22">
        <f>J622+J615+J608+J601</f>
        <v>2402.6</v>
      </c>
      <c r="K623" s="95"/>
    </row>
    <row r="624" spans="1:11" ht="15.75" customHeight="1" thickBot="1" x14ac:dyDescent="0.25">
      <c r="A624" s="392" t="s">
        <v>273</v>
      </c>
      <c r="B624" s="336"/>
      <c r="C624" s="336"/>
      <c r="D624" s="336"/>
      <c r="E624" s="336"/>
      <c r="F624" s="336"/>
      <c r="G624" s="336"/>
      <c r="H624" s="336"/>
      <c r="I624" s="336"/>
      <c r="J624" s="336"/>
      <c r="K624" s="336"/>
    </row>
    <row r="625" spans="1:11" x14ac:dyDescent="0.2">
      <c r="A625" s="393" t="s">
        <v>137</v>
      </c>
      <c r="B625" s="159" t="s">
        <v>138</v>
      </c>
      <c r="C625" s="183" t="s">
        <v>75</v>
      </c>
      <c r="D625" s="162" t="s">
        <v>257</v>
      </c>
      <c r="E625" s="131">
        <v>2015</v>
      </c>
      <c r="F625" s="99">
        <f t="shared" ref="F625:F630" si="46">SUM(G625:I625)</f>
        <v>2070.1</v>
      </c>
      <c r="G625" s="16"/>
      <c r="H625" s="16"/>
      <c r="I625" s="16">
        <v>2070.1</v>
      </c>
      <c r="J625" s="16"/>
      <c r="K625" s="162" t="s">
        <v>1</v>
      </c>
    </row>
    <row r="626" spans="1:11" x14ac:dyDescent="0.2">
      <c r="A626" s="394"/>
      <c r="B626" s="160"/>
      <c r="C626" s="163"/>
      <c r="D626" s="163"/>
      <c r="E626" s="131">
        <v>2016</v>
      </c>
      <c r="F626" s="99">
        <f t="shared" si="46"/>
        <v>2173.6</v>
      </c>
      <c r="G626" s="16"/>
      <c r="H626" s="16"/>
      <c r="I626" s="16">
        <v>2173.6</v>
      </c>
      <c r="J626" s="16"/>
      <c r="K626" s="176"/>
    </row>
    <row r="627" spans="1:11" x14ac:dyDescent="0.2">
      <c r="A627" s="394"/>
      <c r="B627" s="160"/>
      <c r="C627" s="163"/>
      <c r="D627" s="163"/>
      <c r="E627" s="131">
        <v>2017</v>
      </c>
      <c r="F627" s="99">
        <f t="shared" si="46"/>
        <v>2282.3000000000002</v>
      </c>
      <c r="G627" s="16"/>
      <c r="H627" s="16"/>
      <c r="I627" s="16">
        <v>2282.3000000000002</v>
      </c>
      <c r="J627" s="16"/>
      <c r="K627" s="176"/>
    </row>
    <row r="628" spans="1:11" x14ac:dyDescent="0.2">
      <c r="A628" s="394"/>
      <c r="B628" s="160"/>
      <c r="C628" s="163"/>
      <c r="D628" s="163"/>
      <c r="E628" s="131">
        <v>2018</v>
      </c>
      <c r="F628" s="99">
        <f t="shared" si="46"/>
        <v>2396.4</v>
      </c>
      <c r="G628" s="16"/>
      <c r="H628" s="16"/>
      <c r="I628" s="16">
        <v>2396.4</v>
      </c>
      <c r="J628" s="16"/>
      <c r="K628" s="176"/>
    </row>
    <row r="629" spans="1:11" x14ac:dyDescent="0.2">
      <c r="A629" s="394"/>
      <c r="B629" s="160"/>
      <c r="C629" s="163"/>
      <c r="D629" s="163"/>
      <c r="E629" s="131">
        <v>2019</v>
      </c>
      <c r="F629" s="99">
        <f t="shared" si="46"/>
        <v>2516.1999999999998</v>
      </c>
      <c r="G629" s="16"/>
      <c r="H629" s="16"/>
      <c r="I629" s="16">
        <v>2516.1999999999998</v>
      </c>
      <c r="J629" s="16"/>
      <c r="K629" s="176"/>
    </row>
    <row r="630" spans="1:11" x14ac:dyDescent="0.2">
      <c r="A630" s="394"/>
      <c r="B630" s="160"/>
      <c r="C630" s="163"/>
      <c r="D630" s="163"/>
      <c r="E630" s="131">
        <v>2020</v>
      </c>
      <c r="F630" s="99">
        <f t="shared" si="46"/>
        <v>2642.1</v>
      </c>
      <c r="G630" s="16"/>
      <c r="H630" s="16"/>
      <c r="I630" s="16">
        <v>2642.1</v>
      </c>
      <c r="J630" s="16"/>
      <c r="K630" s="176"/>
    </row>
    <row r="631" spans="1:11" ht="13.5" thickBot="1" x14ac:dyDescent="0.25">
      <c r="A631" s="395"/>
      <c r="B631" s="376"/>
      <c r="C631" s="164"/>
      <c r="D631" s="164"/>
      <c r="E631" s="26" t="s">
        <v>18</v>
      </c>
      <c r="F631" s="22">
        <f>SUM(F625:F630)</f>
        <v>14080.699999999999</v>
      </c>
      <c r="G631" s="15"/>
      <c r="H631" s="15"/>
      <c r="I631" s="15">
        <f>SUM(I625:I630)</f>
        <v>14080.699999999999</v>
      </c>
      <c r="J631" s="15"/>
      <c r="K631" s="170"/>
    </row>
    <row r="632" spans="1:11" ht="25.5" x14ac:dyDescent="0.2">
      <c r="A632" s="185" t="s">
        <v>246</v>
      </c>
      <c r="B632" s="192"/>
      <c r="C632" s="192"/>
      <c r="D632" s="192"/>
      <c r="E632" s="65" t="s">
        <v>75</v>
      </c>
      <c r="F632" s="22">
        <f>F631</f>
        <v>14080.699999999999</v>
      </c>
      <c r="G632" s="22">
        <f>G631</f>
        <v>0</v>
      </c>
      <c r="H632" s="22">
        <f>H631</f>
        <v>0</v>
      </c>
      <c r="I632" s="22">
        <f>I631</f>
        <v>14080.699999999999</v>
      </c>
      <c r="J632" s="20"/>
      <c r="K632" s="95"/>
    </row>
    <row r="633" spans="1:11" ht="47.25" x14ac:dyDescent="0.25">
      <c r="A633" s="259" t="s">
        <v>253</v>
      </c>
      <c r="B633" s="370"/>
      <c r="C633" s="370"/>
      <c r="D633" s="371"/>
      <c r="E633" s="108" t="s">
        <v>75</v>
      </c>
      <c r="F633" s="108" t="s">
        <v>18</v>
      </c>
      <c r="G633" s="109" t="s">
        <v>10</v>
      </c>
      <c r="H633" s="101" t="s">
        <v>11</v>
      </c>
      <c r="I633" s="101" t="s">
        <v>12</v>
      </c>
      <c r="J633" s="101" t="s">
        <v>13</v>
      </c>
      <c r="K633" s="61"/>
    </row>
    <row r="634" spans="1:11" ht="15.75" x14ac:dyDescent="0.25">
      <c r="A634" s="380"/>
      <c r="B634" s="381"/>
      <c r="C634" s="381"/>
      <c r="D634" s="382"/>
      <c r="E634" s="110"/>
      <c r="F634" s="25">
        <f>F632+F623</f>
        <v>50107.399999999994</v>
      </c>
      <c r="G634" s="25">
        <f>G632+G623</f>
        <v>0</v>
      </c>
      <c r="H634" s="25">
        <f>H632+H623</f>
        <v>0</v>
      </c>
      <c r="I634" s="25">
        <f>I632+I623</f>
        <v>47704.799999999996</v>
      </c>
      <c r="J634" s="25">
        <f>J632+J623</f>
        <v>2402.6</v>
      </c>
      <c r="K634" s="61"/>
    </row>
    <row r="635" spans="1:11" ht="47.25" x14ac:dyDescent="0.25">
      <c r="A635" s="383" t="s">
        <v>139</v>
      </c>
      <c r="B635" s="384"/>
      <c r="C635" s="384"/>
      <c r="D635" s="385"/>
      <c r="E635" s="108" t="s">
        <v>157</v>
      </c>
      <c r="F635" s="108" t="s">
        <v>18</v>
      </c>
      <c r="G635" s="109" t="s">
        <v>10</v>
      </c>
      <c r="H635" s="101" t="s">
        <v>11</v>
      </c>
      <c r="I635" s="101" t="s">
        <v>12</v>
      </c>
      <c r="J635" s="101" t="s">
        <v>13</v>
      </c>
      <c r="K635" s="61"/>
    </row>
    <row r="636" spans="1:11" x14ac:dyDescent="0.2">
      <c r="A636" s="386"/>
      <c r="B636" s="387"/>
      <c r="C636" s="387"/>
      <c r="D636" s="388"/>
      <c r="E636" s="131">
        <v>2015</v>
      </c>
      <c r="F636" s="99">
        <f t="shared" ref="F636:F641" si="47">SUM(H636:J636)</f>
        <v>1157693.2999999998</v>
      </c>
      <c r="G636" s="16"/>
      <c r="H636" s="16">
        <f>H625+H616+H609+H602+H595+H583+H576+H569+H562+H555+H548+H541+H531+H524+H514+H507+H497+H490+H483+H476+H466+H459+H452+H445+H433+H423+H416+H409+H402+H392+H377+H361+H354+H347+H340+H332+H323+H311+H302+H293+H277+H270+H263+H246+H238+H228+H214+H203+H197+H190+H183+H138+H131+H95+H71+H48+H39+H32+H23+H16</f>
        <v>986489.1</v>
      </c>
      <c r="I636" s="16">
        <f>I16+I23+I32+I39+I48+I55+I62+I71+I87+I95+I105+I115+I122+I131+I138+I145+I152+I183+I190+I203+I214+I228+I238+I246+I253+I263+I270+I277+I293+I302+I311+I323+I332+I340+I347+I354+I377+I392+I402+I409+I416+I423+I433+I445+I452+I459+I466+I476+I483+I490+I497+I507+I514+I524+I531+I541+I548+I555+I562+I569+I576+I583+I595+I602+I609+I616+I625+I361+I384</f>
        <v>170563.49999999997</v>
      </c>
      <c r="J636" s="16">
        <f t="shared" ref="J636:J641" si="48">J16+J23+J32+J39+J48+J55+J62+J71+J87+J95+J105+J115+J122+J131+J138+J145+J152+J183+J190+J203+J214+J228+J238+J246+J253+J263+J270+J277+J293+J302+J311+J323+J332+J340+J347+J354+J377+J392+J402+J409+J416+J423+J433+J445+J452+J459+J466+J476+J483+J490+J497+J507+J514+J524+J531+J541+J548+J555+J562+J569+J576+J583+J595+J602+J609+J616+J625</f>
        <v>640.69999999999993</v>
      </c>
      <c r="K636" s="187"/>
    </row>
    <row r="637" spans="1:11" x14ac:dyDescent="0.2">
      <c r="A637" s="386"/>
      <c r="B637" s="387"/>
      <c r="C637" s="387"/>
      <c r="D637" s="388"/>
      <c r="E637" s="131">
        <v>2016</v>
      </c>
      <c r="F637" s="99">
        <f t="shared" si="47"/>
        <v>1114240.5999999999</v>
      </c>
      <c r="G637" s="16"/>
      <c r="H637" s="16">
        <f>H17+H24+H33+H40+H49+H56+H63+H72+H88+H96+H106+H116+H123+H132+H139+H146+H153+H184+H191+H204+H215+H229+H239+H247+H254+H264+H271+H278+H294+H303+H312+H324+H333+H341+H348+H355+H378+H393+H403+H410+H417+H424+H434+H446+H453+H460+H467+H477+H484+H491+H498+H508+H515+H525+H532+H542+H549+H556+H563+H570+H577+H584+H596+H603+H610+H617+H626+H285+H173</f>
        <v>916069.20000000007</v>
      </c>
      <c r="I637" s="16">
        <f>I17+I24+I33+I40+I49+I56+I63+I72+I88+I96+I106+I116+I123+I132+I139+I146+I153+I184+I191+I204+I215+I229+I239+I247+I254+I264+I271+I278+I294+I303+I312+I324+I333+I341+I348+I355+I378+I393+I403+I410+I417+I424+I434+I446+I453+I460+I467+I477+I484+I491+I498+I508+I515+I525+I532+I542+I549+I556+I563+I570+I577+I584+I596+I603+I610+I617+I626+I385+I368+I221+I79+I285+I210</f>
        <v>197852.49999999994</v>
      </c>
      <c r="J637" s="16">
        <f t="shared" si="48"/>
        <v>318.89999999999998</v>
      </c>
      <c r="K637" s="187"/>
    </row>
    <row r="638" spans="1:11" x14ac:dyDescent="0.2">
      <c r="A638" s="386"/>
      <c r="B638" s="387"/>
      <c r="C638" s="387"/>
      <c r="D638" s="388"/>
      <c r="E638" s="131">
        <v>2017</v>
      </c>
      <c r="F638" s="99">
        <f t="shared" si="47"/>
        <v>1222754.7999999998</v>
      </c>
      <c r="G638" s="16"/>
      <c r="H638" s="16">
        <f>H18+H25+H34+H41+H50+H57+H64+H73+H89+H97+H107+H117+H124+H133+H140+H147+H154+H185+H192+H205+H216+H230+H240+H248+H255+H265+H272+H279+H295+H304+H313+H325+H334+H342+H349+H356+H379+H394+H404+H411+H418+H425+H435+H447+H454+H461+H468+H478+H485+H492+H499+H509+H516+H526+H533+H543+H550+H557+H564+H571+H578+H585+H597+H604+H611+H618+H627+H211</f>
        <v>1046330.4999999999</v>
      </c>
      <c r="I638" s="16">
        <f>I18+I25+I34+I41+I50+I57+I64+I73+I89+I97+I107+I117+I124+I133+I140+I147+I154+I185+I192+I205+I216+I230+I240+I248+I255+I265+I272+I279+I295+I304+I313+I325+I334+I342+I349+I356+I379+I394+I404+I411+I418+I425+I435+I447+I454+I461+I468+I478+I485+I492+I499+I509+I516+I526+I533+I543+I550+I557+I564+I571+I578+I585+I597+I604+I611+I618+I627+I386+I211</f>
        <v>176089.49999999997</v>
      </c>
      <c r="J638" s="16">
        <f t="shared" si="48"/>
        <v>334.8</v>
      </c>
      <c r="K638" s="187"/>
    </row>
    <row r="639" spans="1:11" x14ac:dyDescent="0.2">
      <c r="A639" s="386"/>
      <c r="B639" s="387"/>
      <c r="C639" s="387"/>
      <c r="D639" s="388"/>
      <c r="E639" s="131">
        <v>2018</v>
      </c>
      <c r="F639" s="99">
        <f t="shared" si="47"/>
        <v>1291742.4000000001</v>
      </c>
      <c r="G639" s="16"/>
      <c r="H639" s="16">
        <f>H19+H26+H35+H42+H51+H58+H65+H74+H90+H98+H108+H118+H125+H134+H141+H148+H155+H186+H193+H206+H217+H231+H241+H249+H256+H266+H273+H280+H296+H305+H314+H326+H335+H343+H350+H357+H380+H395+H405+H412+H419+H426+H436+H448+H455+H462+H469+H479+H486+H493+H500+H510+H517+H527+H534+H544+H551+H558+H565+H572+H579+H586+H598+H605+H612+H619+H628</f>
        <v>1101901.9000000001</v>
      </c>
      <c r="I639" s="16">
        <f>I19+I26+I35+I42+I51+I58+I65+I74+I90+I98+I108+I118+I125+I134+I141+I148+I155+I186+I193+I206+I217+I231+I241+I249+I256+I266+I273+I280+I296+I305+I314+I326+I335+I343+I350+I357+I380+I395+I405+I412+I419+I426+I436+I448+I455+I462+I469+I479+I486+I493+I500+I510+I517+I527+I534+I544+I551+I558+I565+I572+I579+I586+I598+I605+I612+I619+I628+I387</f>
        <v>188479</v>
      </c>
      <c r="J639" s="16">
        <f t="shared" si="48"/>
        <v>1361.5</v>
      </c>
      <c r="K639" s="187"/>
    </row>
    <row r="640" spans="1:11" x14ac:dyDescent="0.2">
      <c r="A640" s="386"/>
      <c r="B640" s="387"/>
      <c r="C640" s="387"/>
      <c r="D640" s="388"/>
      <c r="E640" s="131">
        <v>2019</v>
      </c>
      <c r="F640" s="99">
        <f t="shared" si="47"/>
        <v>1442304.2999999998</v>
      </c>
      <c r="G640" s="16"/>
      <c r="H640" s="16">
        <f>H20+H27+H36+H43+H52+H59+H66+H75+H91+H99+H109+H119+H126+H135+H142+H149+H156+H187+H194+H207+H218+H232+H242+H250+H257+H267+H274+H281+H297+H306+H315+H327+H336+H344+H351+H358+H381+H396+H406+H413+H420+H427+H437+H449+H456+H463+H470+H480+H487+H494+H501+H511+H518+H528+H535+H545+H552+H559+H566+H573+H580+H587+H599+H606+H613+H620+H629</f>
        <v>1245461.4999999998</v>
      </c>
      <c r="I640" s="16">
        <f>I20+I27+I36+I43+I52+I59+I66+I75+I91+I99+I109+I119+I126+I135+I142+I149+I156+I187+I194+I207+I218+I232+I242+I250+I257+I267+I274+I281+I297+I306+I315+I327+I336+I344+I351+I358+I381+I396+I406+I413+I420+I427+I437+I449+I456+I463+I470+I480+I487+I494+I501+I511+I518+I528+I535+I545+I552+I559+I566+I573+I580+I587+I599+I606+I613+I620+I629+I388</f>
        <v>195403.69999999995</v>
      </c>
      <c r="J640" s="16">
        <f t="shared" si="48"/>
        <v>1439.1</v>
      </c>
      <c r="K640" s="187"/>
    </row>
    <row r="641" spans="1:11" x14ac:dyDescent="0.2">
      <c r="A641" s="386"/>
      <c r="B641" s="387"/>
      <c r="C641" s="387"/>
      <c r="D641" s="388"/>
      <c r="E641" s="131">
        <v>2020</v>
      </c>
      <c r="F641" s="99">
        <f t="shared" si="47"/>
        <v>1523546.6</v>
      </c>
      <c r="G641" s="16"/>
      <c r="H641" s="16">
        <f>H21+H28+H37+H44+H53+H60+H67+H76+H92+H100+H110+H120+H127+H136+H143+H150+H157+H188+H195+H208+H219+H233+H243+H251+H258+H268+H275+H282+H298+H307+H316+H328+H337+H345+H352+H359+H382+H397+H407+H414+H421+H428+H438+H450+H457+H464+H471+H481+H488+H495+H502+H512+H519+H529+H536+H546+H553+H560+H567+H574+H581+H588+H600+H607+H614+H621+H630</f>
        <v>1320769.1000000001</v>
      </c>
      <c r="I641" s="16">
        <f>I21+I28+I37+I44+I53+I60+I67+I76+I92+I100+I110+I120+I127+I136+I143+I150+I157+I188+I195+I208+I219+I233+I243+I251+I258+I268+I275+I282+I298+I307+I316+I328+I337+I345+I352+I359+I382+I397+I407+I414+I421+I428+I438+I450+I457+I464+I471+I481+I488+I495+I502+I512+I519+I529+I536+I546+I553+I560+I567+I574+I581+I588+I600+I607+I614+I621+I630+I389</f>
        <v>201254.90000000002</v>
      </c>
      <c r="J641" s="16">
        <f t="shared" si="48"/>
        <v>1522.6000000000001</v>
      </c>
      <c r="K641" s="187"/>
    </row>
    <row r="642" spans="1:11" ht="15.75" customHeight="1" x14ac:dyDescent="0.2">
      <c r="A642" s="389"/>
      <c r="B642" s="390"/>
      <c r="C642" s="390"/>
      <c r="D642" s="391"/>
      <c r="E642" s="26" t="s">
        <v>158</v>
      </c>
      <c r="F642" s="22">
        <f>SUM(F636:F641)</f>
        <v>7752282</v>
      </c>
      <c r="G642" s="15"/>
      <c r="H642" s="15">
        <f>SUM(H636:H641)</f>
        <v>6617021.3000000007</v>
      </c>
      <c r="I642" s="15">
        <f>SUM(I636:I641)</f>
        <v>1129643.0999999999</v>
      </c>
      <c r="J642" s="15">
        <f>SUM(J636:J641)</f>
        <v>5617.5999999999995</v>
      </c>
      <c r="K642" s="187"/>
    </row>
    <row r="644" spans="1:11" x14ac:dyDescent="0.2">
      <c r="I644" s="100"/>
    </row>
  </sheetData>
  <mergeCells count="475">
    <mergeCell ref="A318:K318"/>
    <mergeCell ref="A319:D319"/>
    <mergeCell ref="A321:K321"/>
    <mergeCell ref="A322:K322"/>
    <mergeCell ref="A311:A317"/>
    <mergeCell ref="D384:D390"/>
    <mergeCell ref="A539:K539"/>
    <mergeCell ref="A540:K540"/>
    <mergeCell ref="A541:A547"/>
    <mergeCell ref="B541:B547"/>
    <mergeCell ref="C541:C547"/>
    <mergeCell ref="D541:D547"/>
    <mergeCell ref="A443:K443"/>
    <mergeCell ref="K541:K554"/>
    <mergeCell ref="K490:K496"/>
    <mergeCell ref="K497:K503"/>
    <mergeCell ref="K476:K482"/>
    <mergeCell ref="C445:C451"/>
    <mergeCell ref="D445:D451"/>
    <mergeCell ref="K445:K472"/>
    <mergeCell ref="A459:A465"/>
    <mergeCell ref="B459:B465"/>
    <mergeCell ref="D466:D472"/>
    <mergeCell ref="A483:A489"/>
    <mergeCell ref="C221:C226"/>
    <mergeCell ref="D221:D226"/>
    <mergeCell ref="C368:C373"/>
    <mergeCell ref="D368:D373"/>
    <mergeCell ref="A221:A226"/>
    <mergeCell ref="B368:B373"/>
    <mergeCell ref="B609:B615"/>
    <mergeCell ref="C609:C615"/>
    <mergeCell ref="D609:D615"/>
    <mergeCell ref="D602:D608"/>
    <mergeCell ref="D548:D554"/>
    <mergeCell ref="C548:C554"/>
    <mergeCell ref="A548:A554"/>
    <mergeCell ref="B548:B554"/>
    <mergeCell ref="A504:D504"/>
    <mergeCell ref="A490:A496"/>
    <mergeCell ref="B490:B496"/>
    <mergeCell ref="C490:C496"/>
    <mergeCell ref="D476:D482"/>
    <mergeCell ref="A497:A503"/>
    <mergeCell ref="B497:B503"/>
    <mergeCell ref="C497:C503"/>
    <mergeCell ref="D497:D503"/>
    <mergeCell ref="D490:D496"/>
    <mergeCell ref="K595:K622"/>
    <mergeCell ref="D616:D622"/>
    <mergeCell ref="K583:K589"/>
    <mergeCell ref="A583:A589"/>
    <mergeCell ref="B583:B589"/>
    <mergeCell ref="C583:C589"/>
    <mergeCell ref="A616:A622"/>
    <mergeCell ref="B616:B622"/>
    <mergeCell ref="C616:C622"/>
    <mergeCell ref="A609:A615"/>
    <mergeCell ref="A593:K593"/>
    <mergeCell ref="A594:K594"/>
    <mergeCell ref="A591:D591"/>
    <mergeCell ref="A602:A608"/>
    <mergeCell ref="B602:B608"/>
    <mergeCell ref="C602:C608"/>
    <mergeCell ref="A595:A601"/>
    <mergeCell ref="B595:B601"/>
    <mergeCell ref="C595:C601"/>
    <mergeCell ref="D583:D589"/>
    <mergeCell ref="A590:D590"/>
    <mergeCell ref="D595:D601"/>
    <mergeCell ref="K636:K642"/>
    <mergeCell ref="A632:D632"/>
    <mergeCell ref="A633:D633"/>
    <mergeCell ref="A634:D634"/>
    <mergeCell ref="A635:D642"/>
    <mergeCell ref="D625:D631"/>
    <mergeCell ref="A623:D623"/>
    <mergeCell ref="A624:K624"/>
    <mergeCell ref="A625:A631"/>
    <mergeCell ref="B625:B631"/>
    <mergeCell ref="C625:C631"/>
    <mergeCell ref="K625:K631"/>
    <mergeCell ref="K555:K582"/>
    <mergeCell ref="A576:A582"/>
    <mergeCell ref="B576:B582"/>
    <mergeCell ref="C576:C582"/>
    <mergeCell ref="D576:D582"/>
    <mergeCell ref="A569:A575"/>
    <mergeCell ref="B569:B575"/>
    <mergeCell ref="C569:C575"/>
    <mergeCell ref="D569:D575"/>
    <mergeCell ref="C562:C568"/>
    <mergeCell ref="D562:D568"/>
    <mergeCell ref="A555:A561"/>
    <mergeCell ref="B555:B561"/>
    <mergeCell ref="C555:C561"/>
    <mergeCell ref="D555:D561"/>
    <mergeCell ref="A562:A568"/>
    <mergeCell ref="B562:B568"/>
    <mergeCell ref="B483:B489"/>
    <mergeCell ref="C483:C489"/>
    <mergeCell ref="D483:D489"/>
    <mergeCell ref="K483:K489"/>
    <mergeCell ref="A476:A482"/>
    <mergeCell ref="B476:B482"/>
    <mergeCell ref="C476:C482"/>
    <mergeCell ref="A466:A472"/>
    <mergeCell ref="B466:B472"/>
    <mergeCell ref="C466:C472"/>
    <mergeCell ref="A473:D473"/>
    <mergeCell ref="A474:K474"/>
    <mergeCell ref="A475:K475"/>
    <mergeCell ref="K423:K429"/>
    <mergeCell ref="A430:D430"/>
    <mergeCell ref="A431:K431"/>
    <mergeCell ref="A432:K432"/>
    <mergeCell ref="A423:A429"/>
    <mergeCell ref="B423:B429"/>
    <mergeCell ref="C423:C429"/>
    <mergeCell ref="D423:D429"/>
    <mergeCell ref="C459:C465"/>
    <mergeCell ref="D459:D465"/>
    <mergeCell ref="K433:K439"/>
    <mergeCell ref="A440:D440"/>
    <mergeCell ref="A441:D441"/>
    <mergeCell ref="A433:A439"/>
    <mergeCell ref="B433:B439"/>
    <mergeCell ref="C433:C439"/>
    <mergeCell ref="D433:D439"/>
    <mergeCell ref="A452:A458"/>
    <mergeCell ref="B452:B458"/>
    <mergeCell ref="C452:C458"/>
    <mergeCell ref="D452:D458"/>
    <mergeCell ref="A444:K444"/>
    <mergeCell ref="A445:A451"/>
    <mergeCell ref="B445:B451"/>
    <mergeCell ref="A401:K401"/>
    <mergeCell ref="A402:A408"/>
    <mergeCell ref="B402:B408"/>
    <mergeCell ref="C402:C408"/>
    <mergeCell ref="D402:D408"/>
    <mergeCell ref="K402:K422"/>
    <mergeCell ref="A416:A422"/>
    <mergeCell ref="B416:B422"/>
    <mergeCell ref="C416:C422"/>
    <mergeCell ref="D416:D422"/>
    <mergeCell ref="A409:A415"/>
    <mergeCell ref="B409:B415"/>
    <mergeCell ref="C409:C415"/>
    <mergeCell ref="D409:D415"/>
    <mergeCell ref="B377:B383"/>
    <mergeCell ref="A377:A383"/>
    <mergeCell ref="A384:A390"/>
    <mergeCell ref="K377:K390"/>
    <mergeCell ref="B384:B390"/>
    <mergeCell ref="C377:C383"/>
    <mergeCell ref="D377:D383"/>
    <mergeCell ref="A399:D399"/>
    <mergeCell ref="A400:K400"/>
    <mergeCell ref="K392:K398"/>
    <mergeCell ref="C384:C390"/>
    <mergeCell ref="A392:A398"/>
    <mergeCell ref="B392:B398"/>
    <mergeCell ref="C392:C398"/>
    <mergeCell ref="D392:D398"/>
    <mergeCell ref="A391:K391"/>
    <mergeCell ref="A375:K375"/>
    <mergeCell ref="A376:K376"/>
    <mergeCell ref="A361:A367"/>
    <mergeCell ref="B361:B367"/>
    <mergeCell ref="C361:C367"/>
    <mergeCell ref="D361:D367"/>
    <mergeCell ref="K368:K373"/>
    <mergeCell ref="K361:K367"/>
    <mergeCell ref="A374:D374"/>
    <mergeCell ref="A368:A373"/>
    <mergeCell ref="K347:K353"/>
    <mergeCell ref="A354:A360"/>
    <mergeCell ref="B354:B360"/>
    <mergeCell ref="C354:C360"/>
    <mergeCell ref="D354:D360"/>
    <mergeCell ref="K354:K360"/>
    <mergeCell ref="A347:A353"/>
    <mergeCell ref="B347:B353"/>
    <mergeCell ref="C347:C353"/>
    <mergeCell ref="D347:D353"/>
    <mergeCell ref="A339:K339"/>
    <mergeCell ref="A340:A346"/>
    <mergeCell ref="B340:B346"/>
    <mergeCell ref="C340:C346"/>
    <mergeCell ref="D340:D346"/>
    <mergeCell ref="K340:K346"/>
    <mergeCell ref="K323:K329"/>
    <mergeCell ref="A330:K330"/>
    <mergeCell ref="A331:K331"/>
    <mergeCell ref="A332:A338"/>
    <mergeCell ref="B332:B338"/>
    <mergeCell ref="C332:C338"/>
    <mergeCell ref="D332:D338"/>
    <mergeCell ref="K332:K338"/>
    <mergeCell ref="A323:A329"/>
    <mergeCell ref="B323:B329"/>
    <mergeCell ref="C323:C329"/>
    <mergeCell ref="D323:D329"/>
    <mergeCell ref="K311:K317"/>
    <mergeCell ref="K293:K299"/>
    <mergeCell ref="A300:D300"/>
    <mergeCell ref="A301:K301"/>
    <mergeCell ref="A302:A308"/>
    <mergeCell ref="B302:B308"/>
    <mergeCell ref="C302:C308"/>
    <mergeCell ref="D302:D308"/>
    <mergeCell ref="K302:K308"/>
    <mergeCell ref="A310:K310"/>
    <mergeCell ref="B311:B317"/>
    <mergeCell ref="C311:C317"/>
    <mergeCell ref="D311:D317"/>
    <mergeCell ref="A309:D309"/>
    <mergeCell ref="A292:E292"/>
    <mergeCell ref="A293:A299"/>
    <mergeCell ref="B293:B299"/>
    <mergeCell ref="C293:C299"/>
    <mergeCell ref="D293:D299"/>
    <mergeCell ref="K263:K269"/>
    <mergeCell ref="K270:K276"/>
    <mergeCell ref="A277:A283"/>
    <mergeCell ref="B277:B283"/>
    <mergeCell ref="C277:C283"/>
    <mergeCell ref="D270:D276"/>
    <mergeCell ref="A291:D291"/>
    <mergeCell ref="K284:K290"/>
    <mergeCell ref="D277:D283"/>
    <mergeCell ref="K277:K283"/>
    <mergeCell ref="A270:A276"/>
    <mergeCell ref="B270:B276"/>
    <mergeCell ref="C270:C276"/>
    <mergeCell ref="A263:A269"/>
    <mergeCell ref="B263:B269"/>
    <mergeCell ref="C263:C269"/>
    <mergeCell ref="D263:D269"/>
    <mergeCell ref="A245:K245"/>
    <mergeCell ref="A246:A252"/>
    <mergeCell ref="B246:B252"/>
    <mergeCell ref="C246:C252"/>
    <mergeCell ref="D246:D252"/>
    <mergeCell ref="K246:K252"/>
    <mergeCell ref="K253:K259"/>
    <mergeCell ref="A260:D260"/>
    <mergeCell ref="A262:K262"/>
    <mergeCell ref="A253:A259"/>
    <mergeCell ref="B253:B259"/>
    <mergeCell ref="C253:C259"/>
    <mergeCell ref="D253:D259"/>
    <mergeCell ref="A261:K261"/>
    <mergeCell ref="F166:J171"/>
    <mergeCell ref="K190:K196"/>
    <mergeCell ref="A180:D180"/>
    <mergeCell ref="A181:K181"/>
    <mergeCell ref="A182:K182"/>
    <mergeCell ref="K183:K189"/>
    <mergeCell ref="A183:A189"/>
    <mergeCell ref="B183:B189"/>
    <mergeCell ref="C183:C189"/>
    <mergeCell ref="D183:D189"/>
    <mergeCell ref="A190:A196"/>
    <mergeCell ref="B190:B196"/>
    <mergeCell ref="C190:C196"/>
    <mergeCell ref="D190:D196"/>
    <mergeCell ref="B173:B178"/>
    <mergeCell ref="A173:A178"/>
    <mergeCell ref="C173:C178"/>
    <mergeCell ref="D173:D178"/>
    <mergeCell ref="K173:K178"/>
    <mergeCell ref="A179:D179"/>
    <mergeCell ref="D159:D165"/>
    <mergeCell ref="F159:J165"/>
    <mergeCell ref="A131:A137"/>
    <mergeCell ref="B131:B137"/>
    <mergeCell ref="C131:C137"/>
    <mergeCell ref="D131:D137"/>
    <mergeCell ref="K145:K151"/>
    <mergeCell ref="A152:A158"/>
    <mergeCell ref="B152:B158"/>
    <mergeCell ref="C152:C158"/>
    <mergeCell ref="D152:D158"/>
    <mergeCell ref="K152:K158"/>
    <mergeCell ref="A145:A151"/>
    <mergeCell ref="B145:B151"/>
    <mergeCell ref="C145:C151"/>
    <mergeCell ref="D145:D151"/>
    <mergeCell ref="K159:K172"/>
    <mergeCell ref="A159:A165"/>
    <mergeCell ref="B159:B165"/>
    <mergeCell ref="C159:C165"/>
    <mergeCell ref="B166:B172"/>
    <mergeCell ref="C166:C172"/>
    <mergeCell ref="D166:D172"/>
    <mergeCell ref="A166:A172"/>
    <mergeCell ref="K131:K144"/>
    <mergeCell ref="A138:A144"/>
    <mergeCell ref="B138:B144"/>
    <mergeCell ref="C138:C144"/>
    <mergeCell ref="D138:D144"/>
    <mergeCell ref="A115:A121"/>
    <mergeCell ref="B115:B121"/>
    <mergeCell ref="C115:C121"/>
    <mergeCell ref="D115:D121"/>
    <mergeCell ref="A129:K129"/>
    <mergeCell ref="A130:K130"/>
    <mergeCell ref="A112:E112"/>
    <mergeCell ref="F112:J112"/>
    <mergeCell ref="A113:K113"/>
    <mergeCell ref="A114:K114"/>
    <mergeCell ref="K115:K121"/>
    <mergeCell ref="A122:A128"/>
    <mergeCell ref="B122:B128"/>
    <mergeCell ref="C122:C128"/>
    <mergeCell ref="D122:D128"/>
    <mergeCell ref="K122:K128"/>
    <mergeCell ref="A102:D102"/>
    <mergeCell ref="A103:K103"/>
    <mergeCell ref="A104:K104"/>
    <mergeCell ref="A105:A111"/>
    <mergeCell ref="B105:B111"/>
    <mergeCell ref="C105:C111"/>
    <mergeCell ref="D105:D111"/>
    <mergeCell ref="K105:K111"/>
    <mergeCell ref="A87:A93"/>
    <mergeCell ref="B87:B93"/>
    <mergeCell ref="C87:C93"/>
    <mergeCell ref="D87:D93"/>
    <mergeCell ref="K87:K93"/>
    <mergeCell ref="A94:K94"/>
    <mergeCell ref="A95:A101"/>
    <mergeCell ref="B95:B101"/>
    <mergeCell ref="C95:C101"/>
    <mergeCell ref="D95:D101"/>
    <mergeCell ref="K95:K101"/>
    <mergeCell ref="A69:D69"/>
    <mergeCell ref="A70:K70"/>
    <mergeCell ref="A71:A77"/>
    <mergeCell ref="B71:B77"/>
    <mergeCell ref="C71:C77"/>
    <mergeCell ref="D71:D77"/>
    <mergeCell ref="K71:K77"/>
    <mergeCell ref="A85:D85"/>
    <mergeCell ref="A86:K86"/>
    <mergeCell ref="C78:C84"/>
    <mergeCell ref="D78:D84"/>
    <mergeCell ref="A78:A84"/>
    <mergeCell ref="B78:B84"/>
    <mergeCell ref="K78:K84"/>
    <mergeCell ref="B48:B54"/>
    <mergeCell ref="C48:C54"/>
    <mergeCell ref="D48:D54"/>
    <mergeCell ref="K32:K46"/>
    <mergeCell ref="K48:K61"/>
    <mergeCell ref="A46:D46"/>
    <mergeCell ref="K62:K68"/>
    <mergeCell ref="A55:A61"/>
    <mergeCell ref="B55:B61"/>
    <mergeCell ref="C55:C61"/>
    <mergeCell ref="D55:D61"/>
    <mergeCell ref="A62:A68"/>
    <mergeCell ref="B62:B68"/>
    <mergeCell ref="C62:C68"/>
    <mergeCell ref="D62:D68"/>
    <mergeCell ref="D39:D45"/>
    <mergeCell ref="A47:K47"/>
    <mergeCell ref="A39:A45"/>
    <mergeCell ref="B39:B45"/>
    <mergeCell ref="A48:A54"/>
    <mergeCell ref="C39:C45"/>
    <mergeCell ref="A16:A22"/>
    <mergeCell ref="B16:B22"/>
    <mergeCell ref="W30:Z30"/>
    <mergeCell ref="A31:K31"/>
    <mergeCell ref="A32:A38"/>
    <mergeCell ref="B32:B38"/>
    <mergeCell ref="C32:C38"/>
    <mergeCell ref="L30:N30"/>
    <mergeCell ref="O30:R30"/>
    <mergeCell ref="S30:V30"/>
    <mergeCell ref="A30:D30"/>
    <mergeCell ref="D32:D38"/>
    <mergeCell ref="A23:A29"/>
    <mergeCell ref="B23:B29"/>
    <mergeCell ref="C23:C29"/>
    <mergeCell ref="D23:D29"/>
    <mergeCell ref="K23:K29"/>
    <mergeCell ref="C16:C22"/>
    <mergeCell ref="D16:D22"/>
    <mergeCell ref="K16:K22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D238:D244"/>
    <mergeCell ref="K238:K244"/>
    <mergeCell ref="A214:A220"/>
    <mergeCell ref="B214:B220"/>
    <mergeCell ref="C214:C220"/>
    <mergeCell ref="D214:D220"/>
    <mergeCell ref="K214:K220"/>
    <mergeCell ref="K197:K201"/>
    <mergeCell ref="B203:B209"/>
    <mergeCell ref="B197:B201"/>
    <mergeCell ref="C197:C201"/>
    <mergeCell ref="D197:D201"/>
    <mergeCell ref="A213:K213"/>
    <mergeCell ref="A203:A209"/>
    <mergeCell ref="A197:A201"/>
    <mergeCell ref="C203:C209"/>
    <mergeCell ref="D203:D209"/>
    <mergeCell ref="K203:K209"/>
    <mergeCell ref="B221:B226"/>
    <mergeCell ref="A210:A212"/>
    <mergeCell ref="B210:B212"/>
    <mergeCell ref="C210:C212"/>
    <mergeCell ref="D210:D212"/>
    <mergeCell ref="K210:K212"/>
    <mergeCell ref="K531:K537"/>
    <mergeCell ref="K524:K530"/>
    <mergeCell ref="D507:D513"/>
    <mergeCell ref="K507:K513"/>
    <mergeCell ref="A521:D521"/>
    <mergeCell ref="A522:K522"/>
    <mergeCell ref="K514:K520"/>
    <mergeCell ref="K221:K226"/>
    <mergeCell ref="A284:A290"/>
    <mergeCell ref="B284:B290"/>
    <mergeCell ref="C284:C290"/>
    <mergeCell ref="D284:D290"/>
    <mergeCell ref="A227:K227"/>
    <mergeCell ref="A228:A234"/>
    <mergeCell ref="B228:B234"/>
    <mergeCell ref="C228:C234"/>
    <mergeCell ref="D228:D234"/>
    <mergeCell ref="K228:K234"/>
    <mergeCell ref="A235:D235"/>
    <mergeCell ref="A236:K236"/>
    <mergeCell ref="A237:K237"/>
    <mergeCell ref="A238:A244"/>
    <mergeCell ref="B238:B244"/>
    <mergeCell ref="C238:C244"/>
    <mergeCell ref="A538:D538"/>
    <mergeCell ref="A524:A530"/>
    <mergeCell ref="B524:B530"/>
    <mergeCell ref="C524:C530"/>
    <mergeCell ref="A531:A537"/>
    <mergeCell ref="B531:B537"/>
    <mergeCell ref="C531:C537"/>
    <mergeCell ref="D531:D537"/>
    <mergeCell ref="D524:D530"/>
    <mergeCell ref="A505:K505"/>
    <mergeCell ref="A506:K506"/>
    <mergeCell ref="A507:A513"/>
    <mergeCell ref="B507:B513"/>
    <mergeCell ref="C507:C513"/>
    <mergeCell ref="A523:K523"/>
    <mergeCell ref="A514:A520"/>
    <mergeCell ref="B514:B520"/>
    <mergeCell ref="C514:C520"/>
    <mergeCell ref="D514:D520"/>
  </mergeCells>
  <phoneticPr fontId="0" type="noConversion"/>
  <pageMargins left="0.75" right="0.75" top="1" bottom="1" header="0.5" footer="0.5"/>
  <pageSetup paperSize="9" scale="68" orientation="landscape" r:id="rId1"/>
  <headerFooter alignWithMargins="0"/>
  <rowBreaks count="17" manualBreakCount="17">
    <brk id="30" max="10" man="1"/>
    <brk id="69" max="10" man="1"/>
    <brk id="112" max="10" man="1"/>
    <brk id="144" max="10" man="1"/>
    <brk id="180" max="10" man="1"/>
    <brk id="220" max="10" man="1"/>
    <brk id="260" max="10" man="1"/>
    <brk id="291" max="10" man="1"/>
    <brk id="320" max="10" man="1"/>
    <brk id="360" max="10" man="1"/>
    <brk id="399" max="10" man="1"/>
    <brk id="442" max="10" man="1"/>
    <brk id="473" max="10" man="1"/>
    <brk id="513" max="10" man="1"/>
    <brk id="554" max="10" man="1"/>
    <brk id="592" max="10" man="1"/>
    <brk id="63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программа декабрь</vt:lpstr>
      <vt:lpstr>Лист2</vt:lpstr>
      <vt:lpstr>'программа декабрь'!Область_печати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2016-06-02T00:12:05Z</cp:lastPrinted>
  <dcterms:created xsi:type="dcterms:W3CDTF">1996-10-08T23:32:33Z</dcterms:created>
  <dcterms:modified xsi:type="dcterms:W3CDTF">2016-06-09T02:07:33Z</dcterms:modified>
</cp:coreProperties>
</file>