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buhruk\Desktop\программа 2016\программа август 2017\"/>
    </mc:Choice>
  </mc:AlternateContent>
  <bookViews>
    <workbookView xWindow="0" yWindow="0" windowWidth="20490" windowHeight="7155"/>
  </bookViews>
  <sheets>
    <sheet name="программа декабрь" sheetId="1" r:id="rId1"/>
    <sheet name="Лист2" sheetId="2" r:id="rId2"/>
  </sheets>
  <definedNames>
    <definedName name="_xlnm.Print_Area" localSheetId="0">'программа декабрь'!$A$1:$K$692</definedName>
  </definedNames>
  <calcPr calcId="152511"/>
</workbook>
</file>

<file path=xl/calcChain.xml><?xml version="1.0" encoding="utf-8"?>
<calcChain xmlns="http://schemas.openxmlformats.org/spreadsheetml/2006/main">
  <c r="F348" i="1" l="1"/>
  <c r="I348" i="1"/>
  <c r="I688" i="1" l="1"/>
  <c r="H688" i="1"/>
  <c r="I424" i="1"/>
  <c r="I423" i="1"/>
  <c r="F423" i="1" s="1"/>
  <c r="F422" i="1"/>
  <c r="H361" i="1"/>
  <c r="F346" i="1"/>
  <c r="I347" i="1"/>
  <c r="F345" i="1"/>
  <c r="F344" i="1"/>
  <c r="F343" i="1"/>
  <c r="H333" i="1"/>
  <c r="I333" i="1"/>
  <c r="F332" i="1"/>
  <c r="F331" i="1"/>
  <c r="F330" i="1"/>
  <c r="F329" i="1"/>
  <c r="F283" i="1"/>
  <c r="F282" i="1"/>
  <c r="H284" i="1"/>
  <c r="F280" i="1"/>
  <c r="F270" i="1"/>
  <c r="F269" i="1"/>
  <c r="H271" i="1"/>
  <c r="F267" i="1"/>
  <c r="H256" i="1"/>
  <c r="I256" i="1"/>
  <c r="F255" i="1"/>
  <c r="F254" i="1"/>
  <c r="F253" i="1"/>
  <c r="F252" i="1"/>
  <c r="F250" i="1"/>
  <c r="F249" i="1"/>
  <c r="F248" i="1"/>
  <c r="I251" i="1"/>
  <c r="H143" i="1"/>
  <c r="H78" i="1"/>
  <c r="F77" i="1"/>
  <c r="F76" i="1"/>
  <c r="F75" i="1"/>
  <c r="F74" i="1"/>
  <c r="H50" i="1"/>
  <c r="G50" i="1"/>
  <c r="I50" i="1"/>
  <c r="F347" i="1" l="1"/>
  <c r="F333" i="1"/>
  <c r="F281" i="1"/>
  <c r="F284" i="1" s="1"/>
  <c r="F268" i="1"/>
  <c r="F271" i="1" s="1"/>
  <c r="F256" i="1"/>
  <c r="F247" i="1"/>
  <c r="F251" i="1" s="1"/>
  <c r="F78" i="1"/>
  <c r="I78" i="1"/>
  <c r="F49" i="1"/>
  <c r="F50" i="1" s="1"/>
  <c r="I224" i="1"/>
  <c r="H224" i="1"/>
  <c r="G224" i="1"/>
  <c r="F223" i="1"/>
  <c r="F224" i="1" s="1"/>
  <c r="J646" i="1" l="1"/>
  <c r="I646" i="1"/>
  <c r="I558" i="1" l="1"/>
  <c r="H517" i="1"/>
  <c r="I435" i="1"/>
  <c r="I467" i="1"/>
  <c r="I443" i="1"/>
  <c r="I428" i="1"/>
  <c r="I381" i="1"/>
  <c r="I351" i="1"/>
  <c r="I337" i="1"/>
  <c r="I214" i="1"/>
  <c r="I149" i="1"/>
  <c r="I68" i="1"/>
  <c r="I241" i="1" l="1"/>
  <c r="J399" i="1" l="1"/>
  <c r="J398" i="1"/>
  <c r="J392" i="1"/>
  <c r="J391" i="1"/>
  <c r="F324" i="1"/>
  <c r="F325" i="1"/>
  <c r="F326" i="1"/>
  <c r="F327" i="1"/>
  <c r="I328" i="1"/>
  <c r="I583" i="1" l="1"/>
  <c r="I520" i="1"/>
  <c r="H520" i="1"/>
  <c r="I519" i="1"/>
  <c r="H519" i="1"/>
  <c r="I518" i="1"/>
  <c r="H518" i="1"/>
  <c r="I513" i="1"/>
  <c r="I512" i="1"/>
  <c r="H506" i="1"/>
  <c r="H505" i="1"/>
  <c r="H504" i="1"/>
  <c r="H499" i="1"/>
  <c r="H498" i="1"/>
  <c r="H497" i="1"/>
  <c r="H487" i="1"/>
  <c r="H486" i="1"/>
  <c r="I485" i="1"/>
  <c r="H485" i="1"/>
  <c r="I475" i="1"/>
  <c r="I444" i="1"/>
  <c r="I436" i="1"/>
  <c r="I406" i="1"/>
  <c r="F406" i="1" s="1"/>
  <c r="I405" i="1"/>
  <c r="I404" i="1"/>
  <c r="I384" i="1"/>
  <c r="F384" i="1" s="1"/>
  <c r="I383" i="1"/>
  <c r="I382" i="1"/>
  <c r="H363" i="1"/>
  <c r="H362" i="1"/>
  <c r="I352" i="1"/>
  <c r="I338" i="1"/>
  <c r="I311" i="1"/>
  <c r="H311" i="1"/>
  <c r="H306" i="1"/>
  <c r="F306" i="1" s="1"/>
  <c r="H305" i="1"/>
  <c r="H299" i="1"/>
  <c r="H298" i="1"/>
  <c r="H275" i="1"/>
  <c r="H264" i="1"/>
  <c r="H263" i="1"/>
  <c r="I244" i="1"/>
  <c r="I242" i="1"/>
  <c r="H227" i="1"/>
  <c r="I221" i="1"/>
  <c r="H221" i="1"/>
  <c r="H216" i="1"/>
  <c r="H217" i="1"/>
  <c r="I217" i="1"/>
  <c r="I216" i="1"/>
  <c r="I197" i="1"/>
  <c r="H197" i="1"/>
  <c r="I152" i="1"/>
  <c r="I151" i="1"/>
  <c r="I150" i="1"/>
  <c r="H145" i="1"/>
  <c r="H144" i="1"/>
  <c r="I109" i="1"/>
  <c r="I108" i="1"/>
  <c r="I101" i="1"/>
  <c r="I100" i="1"/>
  <c r="H83" i="1"/>
  <c r="I83" i="1"/>
  <c r="I71" i="1"/>
  <c r="I70" i="1"/>
  <c r="I69" i="1"/>
  <c r="I42" i="1"/>
  <c r="H42" i="1"/>
  <c r="I46" i="1"/>
  <c r="H46" i="1"/>
  <c r="F419" i="1"/>
  <c r="H277" i="1"/>
  <c r="I236" i="1"/>
  <c r="F236" i="1" s="1"/>
  <c r="F186" i="1"/>
  <c r="F92" i="1"/>
  <c r="H360" i="1"/>
  <c r="F418" i="1"/>
  <c r="H276" i="1"/>
  <c r="I243" i="1"/>
  <c r="I235" i="1"/>
  <c r="F235" i="1" s="1"/>
  <c r="F185" i="1"/>
  <c r="F184" i="1"/>
  <c r="I517" i="1"/>
  <c r="F91" i="1"/>
  <c r="H496" i="1"/>
  <c r="H503" i="1"/>
  <c r="F417" i="1"/>
  <c r="H296" i="1"/>
  <c r="H261" i="1"/>
  <c r="I234" i="1"/>
  <c r="F234" i="1" s="1"/>
  <c r="H142" i="1"/>
  <c r="F90" i="1"/>
  <c r="I690" i="1" l="1"/>
  <c r="H689" i="1"/>
  <c r="I689" i="1"/>
  <c r="H690" i="1"/>
  <c r="I510" i="1"/>
  <c r="I227" i="1"/>
  <c r="I474" i="1"/>
  <c r="I453" i="1"/>
  <c r="I317" i="1" l="1"/>
  <c r="I322" i="1" s="1"/>
  <c r="F323" i="1"/>
  <c r="F328" i="1" s="1"/>
  <c r="I233" i="1" l="1"/>
  <c r="I201" i="1"/>
  <c r="I89" i="1" l="1"/>
  <c r="J660" i="1" l="1"/>
  <c r="J653" i="1"/>
  <c r="H274" i="1"/>
  <c r="H183" i="1"/>
  <c r="H141" i="1"/>
  <c r="I48" i="1"/>
  <c r="H48" i="1"/>
  <c r="G48" i="1"/>
  <c r="F47" i="1"/>
  <c r="F46" i="1"/>
  <c r="F48" i="1" l="1"/>
  <c r="F220" i="1"/>
  <c r="H222" i="1"/>
  <c r="G222" i="1"/>
  <c r="F221" i="1"/>
  <c r="F222" i="1" l="1"/>
  <c r="I222" i="1"/>
  <c r="I667" i="1"/>
  <c r="I660" i="1"/>
  <c r="I653" i="1"/>
  <c r="H303" i="1" l="1"/>
  <c r="H687" i="1" s="1"/>
  <c r="F215" i="1"/>
  <c r="I687" i="1" l="1"/>
  <c r="H691" i="1"/>
  <c r="J691" i="1"/>
  <c r="J690" i="1"/>
  <c r="J689" i="1"/>
  <c r="J688" i="1"/>
  <c r="J687" i="1"/>
  <c r="J686" i="1"/>
  <c r="F210" i="1" l="1"/>
  <c r="F350" i="1" l="1"/>
  <c r="F351" i="1"/>
  <c r="F352" i="1"/>
  <c r="F353" i="1"/>
  <c r="F354" i="1"/>
  <c r="F355" i="1"/>
  <c r="I356" i="1"/>
  <c r="I357" i="1" s="1"/>
  <c r="H356" i="1"/>
  <c r="H357" i="1" s="1"/>
  <c r="G357" i="1"/>
  <c r="I380" i="1"/>
  <c r="I386" i="1" s="1"/>
  <c r="I402" i="1"/>
  <c r="I408" i="1" s="1"/>
  <c r="I415" i="1"/>
  <c r="I421" i="1"/>
  <c r="F421" i="1" s="1"/>
  <c r="I315" i="1"/>
  <c r="I218" i="1"/>
  <c r="I664" i="1"/>
  <c r="F664" i="1" s="1"/>
  <c r="I16" i="1"/>
  <c r="I67" i="1"/>
  <c r="F67" i="1" s="1"/>
  <c r="I148" i="1"/>
  <c r="F148" i="1" s="1"/>
  <c r="I200" i="1"/>
  <c r="I206" i="1" s="1"/>
  <c r="I213" i="1"/>
  <c r="I240" i="1"/>
  <c r="F240" i="1" s="1"/>
  <c r="I483" i="1"/>
  <c r="I490" i="1" s="1"/>
  <c r="I659" i="1"/>
  <c r="I665" i="1" s="1"/>
  <c r="I458" i="1"/>
  <c r="I465" i="1"/>
  <c r="I472" i="1"/>
  <c r="I479" i="1"/>
  <c r="I433" i="1"/>
  <c r="I448" i="1"/>
  <c r="I440" i="1"/>
  <c r="F690" i="1"/>
  <c r="F689" i="1"/>
  <c r="F688" i="1"/>
  <c r="H516" i="1"/>
  <c r="H522" i="1" s="1"/>
  <c r="H502" i="1"/>
  <c r="H508" i="1" s="1"/>
  <c r="H495" i="1"/>
  <c r="H501" i="1" s="1"/>
  <c r="H483" i="1"/>
  <c r="H490" i="1" s="1"/>
  <c r="H302" i="1"/>
  <c r="F302" i="1" s="1"/>
  <c r="H295" i="1"/>
  <c r="H301" i="1" s="1"/>
  <c r="H273" i="1"/>
  <c r="H279" i="1" s="1"/>
  <c r="H260" i="1"/>
  <c r="H266" i="1" s="1"/>
  <c r="H292" i="1" s="1"/>
  <c r="H207" i="1"/>
  <c r="H211" i="1" s="1"/>
  <c r="H200" i="1"/>
  <c r="H206" i="1" s="1"/>
  <c r="H147" i="1"/>
  <c r="H23" i="1"/>
  <c r="H29" i="1" s="1"/>
  <c r="H16" i="1"/>
  <c r="H22" i="1" s="1"/>
  <c r="F208" i="1"/>
  <c r="F209" i="1"/>
  <c r="F309" i="1"/>
  <c r="F310" i="1"/>
  <c r="F311" i="1"/>
  <c r="F312" i="1"/>
  <c r="F313" i="1"/>
  <c r="F314" i="1"/>
  <c r="F303" i="1"/>
  <c r="F304" i="1"/>
  <c r="F305" i="1"/>
  <c r="F307" i="1"/>
  <c r="F296" i="1"/>
  <c r="F297" i="1"/>
  <c r="F298" i="1"/>
  <c r="F299" i="1"/>
  <c r="F300" i="1"/>
  <c r="F316" i="1"/>
  <c r="F317" i="1"/>
  <c r="F318" i="1"/>
  <c r="F319" i="1"/>
  <c r="F320" i="1"/>
  <c r="F321" i="1"/>
  <c r="H315" i="1"/>
  <c r="H322" i="1"/>
  <c r="H449" i="1"/>
  <c r="G449" i="1"/>
  <c r="F439" i="1"/>
  <c r="F438" i="1"/>
  <c r="F437" i="1"/>
  <c r="F436" i="1"/>
  <c r="F435" i="1"/>
  <c r="F434" i="1"/>
  <c r="G424" i="1"/>
  <c r="H386" i="1"/>
  <c r="H415" i="1"/>
  <c r="J394" i="1"/>
  <c r="J401" i="1"/>
  <c r="F416" i="1"/>
  <c r="H232" i="1"/>
  <c r="H219" i="1"/>
  <c r="H199" i="1"/>
  <c r="F233" i="1"/>
  <c r="F238" i="1" s="1"/>
  <c r="I238" i="1"/>
  <c r="F142" i="1"/>
  <c r="F143" i="1"/>
  <c r="F144" i="1"/>
  <c r="F145" i="1"/>
  <c r="F146" i="1"/>
  <c r="F149" i="1"/>
  <c r="F150" i="1"/>
  <c r="F151" i="1"/>
  <c r="F152" i="1"/>
  <c r="F153" i="1"/>
  <c r="F183" i="1"/>
  <c r="F188" i="1" s="1"/>
  <c r="H188" i="1"/>
  <c r="H87" i="1"/>
  <c r="H95" i="1" s="1"/>
  <c r="H59" i="1"/>
  <c r="H79" i="1" s="1"/>
  <c r="G189" i="1"/>
  <c r="G190" i="1" s="1"/>
  <c r="F360" i="1"/>
  <c r="I87" i="1"/>
  <c r="I94" i="1"/>
  <c r="F89" i="1"/>
  <c r="H94" i="1"/>
  <c r="J692" i="1"/>
  <c r="J672" i="1"/>
  <c r="J665" i="1"/>
  <c r="J658" i="1"/>
  <c r="J651" i="1"/>
  <c r="I681" i="1"/>
  <c r="I682" i="1" s="1"/>
  <c r="I672" i="1"/>
  <c r="I658" i="1"/>
  <c r="I651" i="1"/>
  <c r="H682" i="1"/>
  <c r="H672" i="1"/>
  <c r="H665" i="1"/>
  <c r="H658" i="1"/>
  <c r="H651" i="1"/>
  <c r="G682" i="1"/>
  <c r="G672" i="1"/>
  <c r="G665" i="1"/>
  <c r="G658" i="1"/>
  <c r="G651" i="1"/>
  <c r="F675" i="1"/>
  <c r="F676" i="1"/>
  <c r="F677" i="1"/>
  <c r="F678" i="1"/>
  <c r="F679" i="1"/>
  <c r="F680" i="1"/>
  <c r="F666" i="1"/>
  <c r="F667" i="1"/>
  <c r="F668" i="1"/>
  <c r="F669" i="1"/>
  <c r="F670" i="1"/>
  <c r="F671" i="1"/>
  <c r="F660" i="1"/>
  <c r="F661" i="1"/>
  <c r="F662" i="1"/>
  <c r="F663" i="1"/>
  <c r="F652" i="1"/>
  <c r="F653" i="1"/>
  <c r="F654" i="1"/>
  <c r="F655" i="1"/>
  <c r="F656" i="1"/>
  <c r="F657" i="1"/>
  <c r="F645" i="1"/>
  <c r="F646" i="1"/>
  <c r="F647" i="1"/>
  <c r="F648" i="1"/>
  <c r="F649" i="1"/>
  <c r="F650" i="1"/>
  <c r="I632" i="1"/>
  <c r="I625" i="1"/>
  <c r="I618" i="1"/>
  <c r="I611" i="1"/>
  <c r="I604" i="1"/>
  <c r="I597" i="1"/>
  <c r="I587" i="1"/>
  <c r="I580" i="1"/>
  <c r="I563" i="1"/>
  <c r="I571" i="1" s="1"/>
  <c r="I532" i="1"/>
  <c r="I539" i="1"/>
  <c r="I515" i="1"/>
  <c r="I522" i="1"/>
  <c r="F626" i="1"/>
  <c r="F627" i="1"/>
  <c r="F628" i="1"/>
  <c r="F629" i="1"/>
  <c r="F630" i="1"/>
  <c r="F631" i="1"/>
  <c r="F619" i="1"/>
  <c r="F620" i="1"/>
  <c r="F621" i="1"/>
  <c r="F622" i="1"/>
  <c r="F623" i="1"/>
  <c r="F624" i="1"/>
  <c r="F612" i="1"/>
  <c r="F613" i="1"/>
  <c r="F614" i="1"/>
  <c r="F615" i="1"/>
  <c r="F616" i="1"/>
  <c r="F617" i="1"/>
  <c r="F605" i="1"/>
  <c r="F606" i="1"/>
  <c r="F607" i="1"/>
  <c r="F608" i="1"/>
  <c r="F609" i="1"/>
  <c r="F610" i="1"/>
  <c r="F598" i="1"/>
  <c r="F599" i="1"/>
  <c r="F600" i="1"/>
  <c r="F601" i="1"/>
  <c r="F602" i="1"/>
  <c r="F603" i="1"/>
  <c r="F591" i="1"/>
  <c r="F592" i="1"/>
  <c r="F593" i="1"/>
  <c r="F594" i="1"/>
  <c r="F595" i="1"/>
  <c r="F596" i="1"/>
  <c r="F581" i="1"/>
  <c r="F582" i="1"/>
  <c r="F583" i="1"/>
  <c r="F584" i="1"/>
  <c r="F585" i="1"/>
  <c r="F586" i="1"/>
  <c r="F574" i="1"/>
  <c r="F575" i="1"/>
  <c r="F576" i="1"/>
  <c r="F577" i="1"/>
  <c r="F578" i="1"/>
  <c r="F579" i="1"/>
  <c r="F557" i="1"/>
  <c r="F558" i="1"/>
  <c r="F559" i="1"/>
  <c r="F560" i="1"/>
  <c r="F561" i="1"/>
  <c r="F562" i="1"/>
  <c r="F526" i="1"/>
  <c r="F527" i="1"/>
  <c r="F528" i="1"/>
  <c r="F529" i="1"/>
  <c r="F530" i="1"/>
  <c r="F531" i="1"/>
  <c r="F533" i="1"/>
  <c r="F534" i="1"/>
  <c r="F535" i="1"/>
  <c r="F536" i="1"/>
  <c r="F537" i="1"/>
  <c r="F538" i="1"/>
  <c r="G523" i="1"/>
  <c r="F496" i="1"/>
  <c r="F497" i="1"/>
  <c r="F498" i="1"/>
  <c r="F499" i="1"/>
  <c r="F500" i="1"/>
  <c r="F503" i="1"/>
  <c r="F504" i="1"/>
  <c r="F505" i="1"/>
  <c r="F506" i="1"/>
  <c r="F507" i="1"/>
  <c r="F509" i="1"/>
  <c r="F510" i="1"/>
  <c r="F511" i="1"/>
  <c r="F512" i="1"/>
  <c r="F513" i="1"/>
  <c r="F514" i="1"/>
  <c r="F517" i="1"/>
  <c r="F518" i="1"/>
  <c r="F519" i="1"/>
  <c r="F520" i="1"/>
  <c r="F521" i="1"/>
  <c r="H480" i="1"/>
  <c r="F484" i="1"/>
  <c r="F485" i="1"/>
  <c r="F486" i="1"/>
  <c r="F487" i="1"/>
  <c r="F488" i="1"/>
  <c r="G480" i="1"/>
  <c r="F452" i="1"/>
  <c r="F453" i="1"/>
  <c r="F454" i="1"/>
  <c r="F455" i="1"/>
  <c r="F456" i="1"/>
  <c r="F457" i="1"/>
  <c r="F459" i="1"/>
  <c r="F460" i="1"/>
  <c r="F461" i="1"/>
  <c r="F462" i="1"/>
  <c r="F463" i="1"/>
  <c r="F464" i="1"/>
  <c r="F466" i="1"/>
  <c r="F467" i="1"/>
  <c r="F468" i="1"/>
  <c r="F469" i="1"/>
  <c r="F470" i="1"/>
  <c r="F471" i="1"/>
  <c r="F473" i="1"/>
  <c r="F474" i="1"/>
  <c r="F475" i="1"/>
  <c r="F476" i="1"/>
  <c r="F477" i="1"/>
  <c r="F478" i="1"/>
  <c r="F427" i="1"/>
  <c r="F428" i="1"/>
  <c r="F429" i="1"/>
  <c r="F430" i="1"/>
  <c r="F431" i="1"/>
  <c r="F432" i="1"/>
  <c r="F442" i="1"/>
  <c r="F443" i="1"/>
  <c r="F444" i="1"/>
  <c r="F445" i="1"/>
  <c r="F446" i="1"/>
  <c r="F447" i="1"/>
  <c r="F409" i="1"/>
  <c r="F415" i="1" s="1"/>
  <c r="F403" i="1"/>
  <c r="F404" i="1"/>
  <c r="F405" i="1"/>
  <c r="F407" i="1"/>
  <c r="F398" i="1"/>
  <c r="F399" i="1"/>
  <c r="F400" i="1"/>
  <c r="F391" i="1"/>
  <c r="F392" i="1"/>
  <c r="F393" i="1"/>
  <c r="F381" i="1"/>
  <c r="F382" i="1"/>
  <c r="F383" i="1"/>
  <c r="F385" i="1"/>
  <c r="I342" i="1"/>
  <c r="I232" i="1"/>
  <c r="I199" i="1"/>
  <c r="H365" i="1"/>
  <c r="H348" i="1"/>
  <c r="G348" i="1"/>
  <c r="F359" i="1"/>
  <c r="F361" i="1"/>
  <c r="F362" i="1"/>
  <c r="F363" i="1"/>
  <c r="F364" i="1"/>
  <c r="F336" i="1"/>
  <c r="F337" i="1"/>
  <c r="F338" i="1"/>
  <c r="F339" i="1"/>
  <c r="F340" i="1"/>
  <c r="F341" i="1"/>
  <c r="F261" i="1"/>
  <c r="F262" i="1"/>
  <c r="F263" i="1"/>
  <c r="F264" i="1"/>
  <c r="F265" i="1"/>
  <c r="F274" i="1"/>
  <c r="F275" i="1"/>
  <c r="F276" i="1"/>
  <c r="F277" i="1"/>
  <c r="F278" i="1"/>
  <c r="F241" i="1"/>
  <c r="F242" i="1"/>
  <c r="F243" i="1"/>
  <c r="F244" i="1"/>
  <c r="F245" i="1"/>
  <c r="F226" i="1"/>
  <c r="F227" i="1"/>
  <c r="F213" i="1"/>
  <c r="F214" i="1"/>
  <c r="F216" i="1"/>
  <c r="F217" i="1"/>
  <c r="F201" i="1"/>
  <c r="F197" i="1"/>
  <c r="F198" i="1"/>
  <c r="G219" i="1"/>
  <c r="I207" i="1"/>
  <c r="I211" i="1" s="1"/>
  <c r="G199" i="1"/>
  <c r="I111" i="1"/>
  <c r="I103" i="1"/>
  <c r="F103" i="1" s="1"/>
  <c r="I59" i="1"/>
  <c r="I66" i="1"/>
  <c r="I22" i="1"/>
  <c r="I29" i="1"/>
  <c r="F105" i="1"/>
  <c r="F106" i="1"/>
  <c r="F107" i="1"/>
  <c r="F108" i="1"/>
  <c r="F109" i="1"/>
  <c r="F110" i="1"/>
  <c r="F102" i="1"/>
  <c r="F100" i="1"/>
  <c r="F99" i="1"/>
  <c r="F98" i="1"/>
  <c r="F97" i="1"/>
  <c r="F83" i="1"/>
  <c r="F81" i="1"/>
  <c r="F53" i="1"/>
  <c r="F59" i="1" s="1"/>
  <c r="F60" i="1"/>
  <c r="F66" i="1" s="1"/>
  <c r="F68" i="1"/>
  <c r="F69" i="1"/>
  <c r="F70" i="1"/>
  <c r="F71" i="1"/>
  <c r="F72" i="1"/>
  <c r="G45" i="1"/>
  <c r="G51" i="1" s="1"/>
  <c r="F39" i="1"/>
  <c r="F40" i="1"/>
  <c r="F41" i="1"/>
  <c r="F42" i="1"/>
  <c r="F43" i="1"/>
  <c r="F44" i="1"/>
  <c r="I45" i="1"/>
  <c r="I51" i="1" s="1"/>
  <c r="H45" i="1"/>
  <c r="H51" i="1" s="1"/>
  <c r="J30" i="1"/>
  <c r="G22" i="1"/>
  <c r="G29" i="1"/>
  <c r="H257" i="1" l="1"/>
  <c r="F16" i="1"/>
  <c r="F22" i="1" s="1"/>
  <c r="I219" i="1"/>
  <c r="F218" i="1"/>
  <c r="F219" i="1" s="1"/>
  <c r="I489" i="1"/>
  <c r="F516" i="1"/>
  <c r="F522" i="1" s="1"/>
  <c r="G368" i="1"/>
  <c r="I334" i="1"/>
  <c r="F260" i="1"/>
  <c r="F266" i="1" s="1"/>
  <c r="I73" i="1"/>
  <c r="I79" i="1" s="1"/>
  <c r="I246" i="1"/>
  <c r="I257" i="1" s="1"/>
  <c r="F23" i="1"/>
  <c r="F29" i="1" s="1"/>
  <c r="H489" i="1"/>
  <c r="F402" i="1"/>
  <c r="F408" i="1" s="1"/>
  <c r="F495" i="1"/>
  <c r="F501" i="1" s="1"/>
  <c r="F232" i="1"/>
  <c r="F380" i="1"/>
  <c r="F386" i="1" s="1"/>
  <c r="F625" i="1"/>
  <c r="F401" i="1"/>
  <c r="H308" i="1"/>
  <c r="H334" i="1" s="1"/>
  <c r="I588" i="1"/>
  <c r="F588" i="1" s="1"/>
  <c r="I691" i="1"/>
  <c r="F691" i="1" s="1"/>
  <c r="I554" i="1"/>
  <c r="J424" i="1"/>
  <c r="J492" i="1" s="1"/>
  <c r="F308" i="1"/>
  <c r="F659" i="1"/>
  <c r="F665" i="1" s="1"/>
  <c r="F315" i="1"/>
  <c r="H686" i="1"/>
  <c r="H692" i="1" s="1"/>
  <c r="I686" i="1"/>
  <c r="I30" i="1"/>
  <c r="F394" i="1"/>
  <c r="I154" i="1"/>
  <c r="I189" i="1" s="1"/>
  <c r="H424" i="1"/>
  <c r="H492" i="1" s="1"/>
  <c r="H30" i="1"/>
  <c r="H112" i="1" s="1"/>
  <c r="F483" i="1"/>
  <c r="F489" i="1" s="1"/>
  <c r="F365" i="1"/>
  <c r="F604" i="1"/>
  <c r="F672" i="1"/>
  <c r="F87" i="1"/>
  <c r="F199" i="1"/>
  <c r="F273" i="1"/>
  <c r="F279" i="1" s="1"/>
  <c r="F472" i="1"/>
  <c r="F539" i="1"/>
  <c r="F563" i="1"/>
  <c r="F571" i="1" s="1"/>
  <c r="F597" i="1"/>
  <c r="I523" i="1"/>
  <c r="F681" i="1"/>
  <c r="F682" i="1" s="1"/>
  <c r="H673" i="1"/>
  <c r="H684" i="1" s="1"/>
  <c r="I95" i="1"/>
  <c r="F95" i="1" s="1"/>
  <c r="F200" i="1"/>
  <c r="F206" i="1" s="1"/>
  <c r="H523" i="1"/>
  <c r="H642" i="1" s="1"/>
  <c r="G30" i="1"/>
  <c r="F342" i="1"/>
  <c r="F448" i="1"/>
  <c r="F433" i="1"/>
  <c r="F515" i="1"/>
  <c r="F587" i="1"/>
  <c r="F618" i="1"/>
  <c r="G673" i="1"/>
  <c r="G684" i="1" s="1"/>
  <c r="F141" i="1"/>
  <c r="F147" i="1" s="1"/>
  <c r="I480" i="1"/>
  <c r="F479" i="1"/>
  <c r="F465" i="1"/>
  <c r="F502" i="1"/>
  <c r="F508" i="1" s="1"/>
  <c r="F532" i="1"/>
  <c r="F580" i="1"/>
  <c r="I640" i="1"/>
  <c r="F640" i="1" s="1"/>
  <c r="F658" i="1"/>
  <c r="I449" i="1"/>
  <c r="F458" i="1"/>
  <c r="F45" i="1"/>
  <c r="F51" i="1" s="1"/>
  <c r="F246" i="1"/>
  <c r="F611" i="1"/>
  <c r="F632" i="1"/>
  <c r="J673" i="1"/>
  <c r="J684" i="1" s="1"/>
  <c r="F94" i="1"/>
  <c r="F440" i="1"/>
  <c r="F322" i="1"/>
  <c r="H189" i="1"/>
  <c r="F356" i="1"/>
  <c r="F357" i="1" s="1"/>
  <c r="I673" i="1"/>
  <c r="I684" i="1" s="1"/>
  <c r="F651" i="1"/>
  <c r="F687" i="1"/>
  <c r="F73" i="1"/>
  <c r="F79" i="1" s="1"/>
  <c r="F111" i="1"/>
  <c r="F154" i="1"/>
  <c r="F295" i="1"/>
  <c r="F301" i="1" s="1"/>
  <c r="F207" i="1"/>
  <c r="F211" i="1" s="1"/>
  <c r="F334" i="1" l="1"/>
  <c r="F292" i="1"/>
  <c r="F257" i="1"/>
  <c r="F30" i="1"/>
  <c r="I368" i="1"/>
  <c r="I692" i="1"/>
  <c r="H368" i="1"/>
  <c r="F449" i="1"/>
  <c r="I492" i="1"/>
  <c r="F492" i="1" s="1"/>
  <c r="F490" i="1"/>
  <c r="F523" i="1"/>
  <c r="I642" i="1"/>
  <c r="F642" i="1" s="1"/>
  <c r="I112" i="1"/>
  <c r="I190" i="1" s="1"/>
  <c r="H190" i="1"/>
  <c r="F480" i="1"/>
  <c r="F189" i="1"/>
  <c r="F424" i="1"/>
  <c r="F673" i="1"/>
  <c r="F684" i="1" s="1"/>
  <c r="F554" i="1"/>
  <c r="F686" i="1"/>
  <c r="F692" i="1" s="1"/>
  <c r="F368" i="1" l="1"/>
  <c r="F190" i="1"/>
  <c r="F112" i="1"/>
</calcChain>
</file>

<file path=xl/sharedStrings.xml><?xml version="1.0" encoding="utf-8"?>
<sst xmlns="http://schemas.openxmlformats.org/spreadsheetml/2006/main" count="884" uniqueCount="349">
  <si>
    <t>Освещение в СМИ передового педагогического опыта работы,публикации материалов о лучших педагогах, педагогических династиях</t>
  </si>
  <si>
    <t>Обеспечение условий для трудоустройства молодежи через организацию трудовых бригад, лагерей труда и отдыха для подростков</t>
  </si>
  <si>
    <t>№</t>
  </si>
  <si>
    <t>Наименование мероприятия</t>
  </si>
  <si>
    <t>Сроки реализации</t>
  </si>
  <si>
    <t>Ответственный исполнитель</t>
  </si>
  <si>
    <t>Годы</t>
  </si>
  <si>
    <t>Предполагаемый объем финансирования</t>
  </si>
  <si>
    <t>Ожидаемый эффект от реализации</t>
  </si>
  <si>
    <t>Всего</t>
  </si>
  <si>
    <t>Федеральный бюджет</t>
  </si>
  <si>
    <t>Областной бюджет</t>
  </si>
  <si>
    <t>Местный бюджет</t>
  </si>
  <si>
    <t>Приносящая доход деятельность</t>
  </si>
  <si>
    <t xml:space="preserve">Подпрограмма № 1«Повышение качества и доступности дошкольного образования» </t>
  </si>
  <si>
    <t>МЕРОПРИЯТИЕ 1. Обеспечение государственных гарантий доступности дошкольного образования</t>
  </si>
  <si>
    <t>1.1.1.</t>
  </si>
  <si>
    <t>Детский сад на 70 мест в с.Правда Холмского района Сахалинской области</t>
  </si>
  <si>
    <t>ВСЕГО</t>
  </si>
  <si>
    <t>1.1.2.</t>
  </si>
  <si>
    <t>ИТОГО по п. 1.1.</t>
  </si>
  <si>
    <t>ИТОГО по п. 1.2.</t>
  </si>
  <si>
    <t>1.3. Обеспечение функционирования дошкольных образовательных организаций</t>
  </si>
  <si>
    <t>Оснащение дополнительно созданных мест в открываемых новых дошкольных образовательных учреждениях (ДОУ) и новых дошкольных групп в действующих ДОУ</t>
  </si>
  <si>
    <t xml:space="preserve">Укрепление материально – технической базы образовательных организаций. </t>
  </si>
  <si>
    <t>Обеспечение функционирования дошкольных образовательных учреждений, в том числе с учетом современных требований энергоэффективности</t>
  </si>
  <si>
    <t>ИТОГО по п. 1.3.</t>
  </si>
  <si>
    <t>1.4. Обеспечение безопасности дошкольных образовательных организаций</t>
  </si>
  <si>
    <t>ИТОГО по п. 1.4</t>
  </si>
  <si>
    <t>1.5. Улучшение материально – технических условий организации образовательного процесса в дошкольных образовательных организациях</t>
  </si>
  <si>
    <t>Установка теневых навесов и малых форм в дошкольных образовательных организациях</t>
  </si>
  <si>
    <t>1.6. Формирование доступной среды</t>
  </si>
  <si>
    <t>Приобретение оборудования для организации обучения детей – инвалидов в дошкольных образовательных организациях</t>
  </si>
  <si>
    <t>Поддержка субъектов малого предпринимательства в сфере дошкольного образования</t>
  </si>
  <si>
    <t xml:space="preserve">Оказание поддержки субъектам малого предпринимательства по оказанию услуг дошкольного образования; повышение качества охвата детей дошкольного возраста разными формами дошкольного образования, в том числе в сельской местности. </t>
  </si>
  <si>
    <t>Финансирование за счет областного бюджета</t>
  </si>
  <si>
    <t>МЕРОПРИЯТИЕ 3. Обеспечение высокого качества услуг дошкольного образования</t>
  </si>
  <si>
    <t xml:space="preserve">3.1.Реализация государственной услуги по предоставлению дошкольного образования в соответствии с федеральным государственным образовательным стандартом дошкольного образования  </t>
  </si>
  <si>
    <t>Реализация государственной услуги по предоставлению дошкольного образования в соответствии с федеральным государственным образовательным стандартом дошкольного образования</t>
  </si>
  <si>
    <t>Будет обеспечен охват детей услугами дошкольного образования в возрасте от 2  месяцев до 7 лет</t>
  </si>
  <si>
    <t>Реализация государственной услуги по предоставлению дошкольного образования в соответствии с федеральным государственным образовательным стандартом дошкольного образования в группах кратковременного пребывания</t>
  </si>
  <si>
    <t>Предоставление услуги заявителем, согласно поданным заявлениям</t>
  </si>
  <si>
    <t>3.2. Обновление технологий и содержания дошкольного образования за счет поддержки инновационных образовательных организаций и их сетевых объединений, в том числе путем проведения конкурсов на лучшую дошкольную образовательную организацию, лучшего педагогического работника</t>
  </si>
  <si>
    <t>3.2.1.</t>
  </si>
  <si>
    <t>ФОТ  педагогических работников дошкольных образовательных организаций</t>
  </si>
  <si>
    <t>Среднемесячная заработная плата педагогических работников муниципальных дошкольных образовательных организаций будет соответствовать среднемесячной заработной плате работников общего организаций образования в регионе повысится качество кадрового состава дошкольного образования.</t>
  </si>
  <si>
    <t>3.2.1.2.</t>
  </si>
  <si>
    <t>ФОТ  обслуживающего персонала дошкольных образовательных организаций</t>
  </si>
  <si>
    <t>3.2.2.</t>
  </si>
  <si>
    <r>
      <t>Обновление технологий и содержания дошкольного образования за</t>
    </r>
    <r>
      <rPr>
        <b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счет поддержки инновационных образовательных организаций и их сетевых объединений, в том числе путем проведения конкурсов на лучшую дошкольную образовательную организацию.</t>
    </r>
  </si>
  <si>
    <t>На конкурсной основе поддержку на внедрение инновационных образовательных технологий и практик получат победители конкурса. Будет обеспечено оснащение вновь созданных учрежденийсовременным оборудованием.</t>
  </si>
  <si>
    <t>Изменение подходов к содержанию, средствам и методам организации воспитательно - образовательного процесса в дошкольных образовательных организациях</t>
  </si>
  <si>
    <t>Методическая поддержка иноваций и инициатив педагогов и организаций</t>
  </si>
  <si>
    <t>Без дополнительного финансирования</t>
  </si>
  <si>
    <t>Повышение статуса педагогических работников дошкольных образовательных организаций, обобщение и распространение  их опыта работы, материальное стимулирование.</t>
  </si>
  <si>
    <t>Выявление и поддержка лидеров дошкольного образования</t>
  </si>
  <si>
    <t>Финансирование за счет общих расходов</t>
  </si>
  <si>
    <t>Строительство спортивного зала Лицея "Надежда"</t>
  </si>
  <si>
    <t>2015 -2016</t>
  </si>
  <si>
    <t>1.1.3.</t>
  </si>
  <si>
    <t>1.2.1.</t>
  </si>
  <si>
    <t>2015 -2020</t>
  </si>
  <si>
    <t>Тепловая и электрическая энергия</t>
  </si>
  <si>
    <t>Мероприятие 2. «Повышение качества общего образования»</t>
  </si>
  <si>
    <t>2.1. Реализация государственной услуги по предоставлению начального общего, основного общего, среднего  общего образования по основным общеобразовательным программам</t>
  </si>
  <si>
    <t>2.1.1.</t>
  </si>
  <si>
    <r>
      <t>2.2.</t>
    </r>
    <r>
      <rPr>
        <b/>
        <sz val="11"/>
        <color indexed="8"/>
        <rFont val="Times New Roman"/>
        <family val="1"/>
        <charset val="204"/>
      </rPr>
      <t>Реализация требований федеральных государственных образовательных стандартов</t>
    </r>
  </si>
  <si>
    <t>3.1 .Софинансирование расходных обязательств муниципальных образований по созданию условий для осуществления присмотра и ухода за детьми в общеобразовательных организациях, имеющих интернат, а также по организации предоставления общедоступного и бесплатного дошкольного, начального общего, основного общего, среднего общего образования по основным общеобразовательным программам в муниципальных образовательных организациях (включая расходы по обеспечению содержания зданий и сооружений), которые по состоянию на 31 декабря 2001 года имели тип специальное (коррекционное) образовательное учреждение для обучающихся, воспитанников с ограниченными возможностями здоровья либо оздоровительное образовательное учреждение санаторного типа для детей, нуждающихся в длительном лечении (далее – на создание условий для осуществления присмотра и ухода за детьми и на организацию предоставления образования в общеобразовательных организациях, которые имеют интернат, и (или)  по состоянию на 31.12.2001 года имели тип специальное (коррекционное) образовательное учреждение для обучающихся, воспитанников с ограниченными возможностями здоровья либо оздоровительное образовательное учреждение санаторного типа для детей, нуждающихся в длительном лечении</t>
  </si>
  <si>
    <t>3.1.2.</t>
  </si>
  <si>
    <t>2015 - 2020</t>
  </si>
  <si>
    <t>Разработка нормативных документов по вопросам воспитания, дополнительного образования и профилактической работе</t>
  </si>
  <si>
    <t>2.1. Реализация муниципальной  услуги по предоставлению дополнительного образования по дополнительным  общеобразовательным программам</t>
  </si>
  <si>
    <r>
      <t>2.2.</t>
    </r>
    <r>
      <rPr>
        <b/>
        <sz val="11"/>
        <color indexed="8"/>
        <rFont val="Times New Roman"/>
        <family val="1"/>
        <charset val="204"/>
      </rPr>
      <t xml:space="preserve">Укрепление материально-технической базы организаций дополнительного образования детей </t>
    </r>
  </si>
  <si>
    <t>2.2.2.</t>
  </si>
  <si>
    <t>Мероприятие 3 «Повышение кадрового потенциала образовательных организаций по вопросам дополнительного образования, воспитания, профилактической работы с детьми и социального неблагополучия в семьях»</t>
  </si>
  <si>
    <t>3.1.  Организация мероприятий, способствующих постоянному повышению уровня квалификации педагогов</t>
  </si>
  <si>
    <t>3.2.  Организация муниципальной системы обмена, распространения и внедреия положительного педагогического опыта</t>
  </si>
  <si>
    <t>4.1. Внедрение в школах муниципального образования программ профессионального самоопределения</t>
  </si>
  <si>
    <t>4.1.1.</t>
  </si>
  <si>
    <t>Организация  и проведение  муниципальных, а также участие в областных творческих конкурсах по различных направленностям дополнительного образования</t>
  </si>
  <si>
    <t>4.1.2.</t>
  </si>
  <si>
    <t>Организация и проведение муниципальных спортивных соревнований, в том числе «Президентских спортивных игр» и «Президентских состязаний».  Участие в областных соревнованиях</t>
  </si>
  <si>
    <t>4.1.3.</t>
  </si>
  <si>
    <t>4.1.4.</t>
  </si>
  <si>
    <t>Организация и проведение  мероприятий, связанных с профилактикой социального неблагополучия в семьях и жестокого обращения с детьми</t>
  </si>
  <si>
    <t>5.1.Проведение мероприятий по формированию положительного имиджа педагога в обществе</t>
  </si>
  <si>
    <t>Модернизация учебно-воспитательного процесса в организациях дополнительного образования</t>
  </si>
  <si>
    <t>Ежемесячная денежная выплата работникам образовательных учреждений, которым присвоено почетное звание «Заслуженный педагог Сахалинской области»</t>
  </si>
  <si>
    <t>Ежемесячная денежная выплата работникам образовательных учреждений, имеющим государственные награды РФ</t>
  </si>
  <si>
    <t>Реализация ведомственной целевой программы Сахалинской области «О государственной поддержке учителей общеобразовательных учреждений при ипотечном кредитовании на 2012 – 2014 годы»</t>
  </si>
  <si>
    <t>Льготы педагогическим работникам, работникам здравоохранения и культуры, проживающим и работающим в сельской местности, а также проживающим в городе и работающим на селе.</t>
  </si>
  <si>
    <t>Заочное обучение и целевая подготовка специалистов</t>
  </si>
  <si>
    <t>Аттестация педагогический работников муниципальных образовательных организаций</t>
  </si>
  <si>
    <t>Переход на конкурсную основу  отбора руководителей образовательных организаций</t>
  </si>
  <si>
    <t>Введение эффективного контракта как основы трудовых отношений с руководителями, педагогами, работниками системы образования</t>
  </si>
  <si>
    <t>3.1.1.</t>
  </si>
  <si>
    <t>Повышение квалификации работников образования муниципальных образовательных организаций</t>
  </si>
  <si>
    <t>Формирование и сопровождение профессионального развития резерва руководящих кадров учреждений образования</t>
  </si>
  <si>
    <t>Проведение профориентационных мероприятий с обучающимися 10-11 классов школ (консультации, лектории, Дни открытых дверей)</t>
  </si>
  <si>
    <t>Смотры-конкурсы районных методических объединений учителей в рамках профориентационной работы с обучающимися основной и старшей школы</t>
  </si>
  <si>
    <t>5.1. Проведение мероприятий по формированию положительного имиджа педагога в обществе</t>
  </si>
  <si>
    <t>5.1.1.</t>
  </si>
  <si>
    <t>Участие педагогов в областных  конференциях, педагогических чтениях, круглых столах</t>
  </si>
  <si>
    <t>Муниципальные и областные методические выставки по лучшему инновационному опыту педагогов и образовательных организаций</t>
  </si>
  <si>
    <t>Муниципальный конкурс инновационных программ</t>
  </si>
  <si>
    <t>1.1.</t>
  </si>
  <si>
    <t>Организация питания детей</t>
  </si>
  <si>
    <t>1.2.</t>
  </si>
  <si>
    <t>Реализация программ деятельности лагерей, обеспечение их необходимыми канцелярскими и хозяйственными товарами</t>
  </si>
  <si>
    <t>1.3.</t>
  </si>
  <si>
    <t>1.4.</t>
  </si>
  <si>
    <t>Оплата труда педагогических и медицинских работников лагерей с начислениями</t>
  </si>
  <si>
    <t>2.1.</t>
  </si>
  <si>
    <t>Оплата труда  несовершеннолетних с начислениями</t>
  </si>
  <si>
    <t>ИТОГО НА РЕАЛИЗАЦИЮ МУНИЦИПАЛЬНОЙ ПРОГРАММЫ</t>
  </si>
  <si>
    <t>Капитальный ремонт зданий образовательных учреждений позволит привести условия содержания дошкольных образовательных организаций в соответствии с санитарными и иными  требованиями законодательства</t>
  </si>
  <si>
    <t>Создание до 2015 года 70 мест для дошкольников</t>
  </si>
  <si>
    <t>Создание до 2015 года 20 мест для дошкольников</t>
  </si>
  <si>
    <t>Ресурсное обеспечение  муниципальной программы</t>
  </si>
  <si>
    <t>«Развитие образования в муниципальном образовании</t>
  </si>
  <si>
    <t xml:space="preserve"> «Холмский городской округ» на 2015-2020 годы»</t>
  </si>
  <si>
    <t>1.3.1.</t>
  </si>
  <si>
    <t>МБУ МО "Холмский городской округ" "Отдел капитального строительства"</t>
  </si>
  <si>
    <t>Капитальный ремонт зданий функционирующих дошкольных образовательных организаций в целях открытия дополнительных мест: МБДОУ д/с № 28 «Рябинка» с.Чехов - 1 группа - 20 мест; МБДОУ № 4 "Маячок"; с.Яблочное - 1 группа-20 мест</t>
  </si>
  <si>
    <t>Укрепление материально-технической базы образовательных учреждений (благоустройство территории, капитальный ремонт, разработка ПСД на благоустройство территории, разработка ПСД на капитальный ремонт)</t>
  </si>
  <si>
    <t>1.2. Капитальный ремонт зданий функционирующих общеобразовательных организаций</t>
  </si>
  <si>
    <t>Развитие муниципальной системы выявления одаренных детей, в том числе проведение муниципальных мероприятий, награждение одаренных школьников (медалистов, победителей и призеров предметных олимпиад)</t>
  </si>
  <si>
    <t>2.2.3.</t>
  </si>
  <si>
    <t>2.2.4.</t>
  </si>
  <si>
    <t>годы</t>
  </si>
  <si>
    <t>2015-2020</t>
  </si>
  <si>
    <t>Школа-детский сад  на 110 мест в с. Пионеры Холмского района Сахалинской области</t>
  </si>
  <si>
    <t>Оснащение дошкольных образовательных организаций специализированным учебным, учебно-наглядным и учебно-производственным оборудованием</t>
  </si>
  <si>
    <t xml:space="preserve">Создание условий для осуществления присмотра и ухода за детьми в общеобразовательных организациях, организация предоставления образования в общеобразовательных организациях. </t>
  </si>
  <si>
    <t>3.2.1. Оплата труда работников дошкольных образовательных организаций</t>
  </si>
  <si>
    <t xml:space="preserve">Оснащение специализированным учебным, учебно-наглядным и учебно-производственным оборудованием:                   - С(К)ОШ  YIII вида </t>
  </si>
  <si>
    <t>3.1.4.</t>
  </si>
  <si>
    <t>Проведение муниципальных семинаров, конференций, круглых столов по вопросам развития воспитания, дополнительного образования и профилактической работы</t>
  </si>
  <si>
    <t>Мероприятия по антитеррористической безопасности образовательных учреждений (оборудование системами видеонаблюдения, установка ограждений)</t>
  </si>
  <si>
    <t>Будет приобретено оборудование для оснащения вновь созданных мест в дошкольных образовательных учреждениях и новых дошкольных группах действующих ДОУ.</t>
  </si>
  <si>
    <t>Обеспечение стабильного функционирования  дошкольных образовательных организаций</t>
  </si>
  <si>
    <t>Обеспечение стабильного функционирования  дошкольных образовательных организаций, экономия потребления электро- и теплоэнергии</t>
  </si>
  <si>
    <t>Установка систем видеонаблюдения, кнопок экстренного вызова полиции позволит обеспечить антитеррористическую безопасность в дошкольных образовательных организациях</t>
  </si>
  <si>
    <t>Выполнение норм и требований пожарного законодательства</t>
  </si>
  <si>
    <t>Будет приобретено оборудование для оснащения действующих дошкольных образовательных учреждениях</t>
  </si>
  <si>
    <t>Обеспечение доступности общего образования. Создание к 2020 году 400 мест для школьников.</t>
  </si>
  <si>
    <t>Ввод в эксплуатацию в 2016 году объекта строительства, открытие нового спортивного зала</t>
  </si>
  <si>
    <t>2019 -2020</t>
  </si>
  <si>
    <t>2017 -2018</t>
  </si>
  <si>
    <t>Комфортные и безопасные условия обучения и воспитания в общеобразовательных учреждениях</t>
  </si>
  <si>
    <t>Мероприятия по антитеррористической безопасности образовательных учреждений (оборудование системами видеонаблюдения, установка и ремонт ограждений и наружного освещения территорий)</t>
  </si>
  <si>
    <t>Введение федеральных государственных образовательных стандартов на 3-х ступенях обучения</t>
  </si>
  <si>
    <t>Обеспечение и проведение государственной итоговой аттестации</t>
  </si>
  <si>
    <t>Реализация функций по контролю за качеством образования</t>
  </si>
  <si>
    <t>Охват специальным (коррекционным) образованием населения в возрасте 7 – 17 лет</t>
  </si>
  <si>
    <t>Обеспечение стабильного функционирования образовательных организаций, экономия потребления электро- и теплоэнергии</t>
  </si>
  <si>
    <t>Увеличится удельный вес талантливых школьников, получивших поддержку со стороны государства</t>
  </si>
  <si>
    <t>5.1.</t>
  </si>
  <si>
    <t>Поддержка общеобразовательных организаций, внедряющих инновационные образовательные программы и проекты</t>
  </si>
  <si>
    <t>6.1.</t>
  </si>
  <si>
    <t xml:space="preserve">Реализация образовательных программ с применением электронного обучения и дистанционных образовательных технологий для:
- детей-инвалидов, обучающихся на дому
</t>
  </si>
  <si>
    <t>Разработка нормативных документов, регламентирующих деятельность ОУ</t>
  </si>
  <si>
    <t>Отношение среднемесячной заработной платы педагогов муниципальных организаций дополнительного образования детей к среднемесячной заработной плате учителей в Сахалинской области</t>
  </si>
  <si>
    <t xml:space="preserve"> Оплата труда работников организаций дополнительного образования детей</t>
  </si>
  <si>
    <t>Оснащение учебным, учебно-наглядным, учебно-лабораторным и другим оборудованием в соответствии с требованиями к реализации программ</t>
  </si>
  <si>
    <t>Будет приобретено оборудование для оснащения учреждений дополнительного образования</t>
  </si>
  <si>
    <t>Приобретение оборудования и материалов в соответствии с программами развития организаций</t>
  </si>
  <si>
    <t>Обеспечение стабильного функционирования учреждений дополнительного образования детей</t>
  </si>
  <si>
    <t>Повышение кадрового потенциала образовательных организаций (участие педагогов в курсах повышения квалификации)</t>
  </si>
  <si>
    <t>Повышение методического, психологического и педагогического  уровня организаторов воспитания и доп. Образования</t>
  </si>
  <si>
    <t>Повышение методического, психологического и педагогического  уровня организаторов воспитания и доп. образования</t>
  </si>
  <si>
    <t>Организация и проведение мероприятий, связанных с развитием детского и молодежного движения. Участие в областных мероприятиях</t>
  </si>
  <si>
    <t xml:space="preserve">Увеличение доли детей, участвующих в конкурсах, соревнованиях и ставших победителями и призерами </t>
  </si>
  <si>
    <t>Уменьшение количества детей в семьях, находящихся в социально опасном положении и подвергшихся жестокому обращению</t>
  </si>
  <si>
    <t>Будет в полном объеме обеспечено финансирование повышения качества учебно-воспитательного процесса</t>
  </si>
  <si>
    <t xml:space="preserve">Доля работников образовательных учреждений, получающих выплаты в соответствии с законами Сахалинской области, от числа имеющих на это право </t>
  </si>
  <si>
    <t xml:space="preserve">Повысится уровень профессионализма педагогических работников муниципальных образовательных организаций. Всем педагогам будут обеспечены возможности непрерывного профессионального развития. </t>
  </si>
  <si>
    <t xml:space="preserve">Будут обеспечены подбор и расстановка кадров в соответствии с квалификационными требованиями, установленными к педагогическим должностям </t>
  </si>
  <si>
    <t xml:space="preserve">Будет сформирована система оценки профессиональных компетенций и личностных качеств руководителей общеобразовательных организаций. </t>
  </si>
  <si>
    <t>Будет завершен переход к эффективному контракту и создана система привлечения молодых специалистов и работников с высокой мотивацией и достаточной квалификацией для обеспечения высокого качества результатов труда</t>
  </si>
  <si>
    <t xml:space="preserve">Создание системы программно-целевого подхода   непрерывного педагогического образования   педагогов муниципальных образовательных учреждений». </t>
  </si>
  <si>
    <t xml:space="preserve">Формирование резерва руководящих кадров муниципальной системы образования и механизмы его регулярного обновления и повышения квалификации                </t>
  </si>
  <si>
    <t xml:space="preserve">Создание условий   для формирования  у обучающихся положительного отношения и психологической готовности к педагогическому труду,  потребности </t>
  </si>
  <si>
    <t>Организация лагерей дневного пребывания различных видов и форм</t>
  </si>
  <si>
    <t>Открытие мастерских по технологии для обучающихся в 5-11 классах, уменьшение количества обучающихся во вторую смену</t>
  </si>
  <si>
    <t xml:space="preserve">Будут созданы условия для формирования позитивного образа педагога, повышения социального статуса и престижа профессии, трансформации и использования передового педагогического опыта лидеров образования и лучших педагогических практик                 </t>
  </si>
  <si>
    <t>Повысится социальный статус и престиж профессии педагога.</t>
  </si>
  <si>
    <t>ИТОГО ПО МЕРОПРИЯТИЮ 2.</t>
  </si>
  <si>
    <t>1.4 Обеспечение функционирования общеобразовательных учреждений, в том числе с учетом современных требований энергоэффективности</t>
  </si>
  <si>
    <t>ИТОГО ПО МЕРОПРИЯТИЮ 3.</t>
  </si>
  <si>
    <t>МЕРОПРИЯТИЕ 2. Создание условий для  максимального охвата детей организованными формами дошкольного образования</t>
  </si>
  <si>
    <t>Мероприятие 1. Развитие инфраструктуры доступности качественного общего образования</t>
  </si>
  <si>
    <r>
      <t>Подпрограмма № 2 «Обеспечение доступности и  качества общего образования, в том числе и в сельской</t>
    </r>
    <r>
      <rPr>
        <u/>
        <sz val="14"/>
        <rFont val="Times New Roman"/>
        <family val="1"/>
        <charset val="204"/>
      </rPr>
      <t xml:space="preserve"> </t>
    </r>
    <r>
      <rPr>
        <b/>
        <u/>
        <sz val="14"/>
        <rFont val="Times New Roman"/>
        <family val="1"/>
        <charset val="204"/>
      </rPr>
      <t xml:space="preserve">местности» </t>
    </r>
  </si>
  <si>
    <t>Мероприятие  3. Развитие инклюзивного образования</t>
  </si>
  <si>
    <t>Мероприятие 4. Выявление и поддержка одаренных детей</t>
  </si>
  <si>
    <t>Мероприятие 5. Поддержка и распространение лучших образцов педагогической практики</t>
  </si>
  <si>
    <t>Мероприятие 6. Внедрение дистанционных образовательных технологий и электронного обучения</t>
  </si>
  <si>
    <t>Мероприятие 1. Развитие нормативно-правовой базы по вопросам воспитания, дополнительного образования, профилактики социального сиротства и жестокого обращения с детьми</t>
  </si>
  <si>
    <t>Мероприятие 2. Организация предоставления дополнительного образования детей в муниципальных образовательных организациях дополнительного образования детей</t>
  </si>
  <si>
    <t>ИТОГО ПО МЕРОПРИЯТИЮ 3</t>
  </si>
  <si>
    <t>Мероприятие 4. Выявление и поддержка талантливых детей в области спорта, туризма, культуры и искусства</t>
  </si>
  <si>
    <t>ИТОГО ПО МЕРОПРИЯТИЮ 4</t>
  </si>
  <si>
    <t>Мероприятие 5. Модернизация учебно - воспитательного процесса в организациях дополнительного образования</t>
  </si>
  <si>
    <t>ИТОГО ПО МЕРОПРИЯТИЮ 5</t>
  </si>
  <si>
    <t>ВСЕГО НА РЕАЛИЗАЦИЮ ПОДПРОГРАММЫ 1</t>
  </si>
  <si>
    <t>ВСЕГО НА РЕАЛИЗАЦИЮ ПОДПРОГРАММЫ 3</t>
  </si>
  <si>
    <t>Подпрограмма 4. Развитие кадрового потенциала</t>
  </si>
  <si>
    <t>Мероприятие 1. Усиление социальной поддержки  и стимулирование  труда педагогических работников через внедрение "Эффективного контракта профессионального стандарта"</t>
  </si>
  <si>
    <t>ИТОГО ПО МЕРОПРИЯТИЮ 1</t>
  </si>
  <si>
    <t>Мероприятие 2. Обновление  состава и  компетенций педагогических кадров, создание  механизмов мотивации педагогов  к повышению  качества работы  и  непрерывному профессиональному развитию</t>
  </si>
  <si>
    <t>2.1. Развитие кадровых ресурсов муниципальной системы образования</t>
  </si>
  <si>
    <t>ИТОГО ПО МЕРОПРИЯТИЮ 2</t>
  </si>
  <si>
    <t>Мероприятие 3. Освоение и внедрение эффективных современных моделей модернизации непрерывного педагогического образования, системы переподготовки и повышения квалификации,  научно-методической поддержки педагогов и руководителей образовательных учреждений</t>
  </si>
  <si>
    <t>3.1. Реализация системы программно-целевого подхода непрерывного педагогического образования руководителей и педагогов муниципальных образовательных учреждений</t>
  </si>
  <si>
    <t>Мероприятие 4. Развитие системы профессиональной ориентации и предпрофессиональной подготовки  выпускников учреждений общего образования</t>
  </si>
  <si>
    <t>Мероприятие 5. Повышение социального  престижа и привлекательности педагогической профессии</t>
  </si>
  <si>
    <t>ВСЕГО НА РЕАЛИЗАЦИЮ ПОДПРОГРАММЫ 4</t>
  </si>
  <si>
    <t>Мероприятие 1. Организация лагерей дневного пребывания, профильных и трудовых лагерей с питанием</t>
  </si>
  <si>
    <t>ВСЕГО НА РЕАЛИЗАЦИЮ ПОДПРОГРАММЫ 5</t>
  </si>
  <si>
    <t xml:space="preserve">Оснащение учебным, учебно-наглядным и учебно-лабораторным оборудованием </t>
  </si>
  <si>
    <t>1.3. Обеспечение безопасности общеобразовательных организаций</t>
  </si>
  <si>
    <t>2016-2020</t>
  </si>
  <si>
    <t>Управление образования администрации МО «Холмский городской округ»</t>
  </si>
  <si>
    <t>Строительство новой школы в 7-ом микрорайоне на 400 мест</t>
  </si>
  <si>
    <t xml:space="preserve">ИТОГО ПО МЕРОПРИЯТИЮ 1 </t>
  </si>
  <si>
    <t>ИТОГО ПО МЕРОПРИЯТИЮ 6</t>
  </si>
  <si>
    <t>ВСЕГО НА РЕАЛИЗАЦИЮ ПОДПРОГРАММЫ 2</t>
  </si>
  <si>
    <t>Благоустройство территории, в т.ч. разработка ПСД</t>
  </si>
  <si>
    <t>2016 - 2020</t>
  </si>
  <si>
    <t xml:space="preserve">Муниципальные профессиональные конкурсы: «Учитель года», «Воспитатель года», «Самый классный классный», «Сердце отдаю детям» </t>
  </si>
  <si>
    <t>Научно - практические конференции, мастер-классы, форумы педагогов-новаторов, научно-практические семинары и круглые столы</t>
  </si>
  <si>
    <t>Муниципальный конкурс «Лидер муниципальной образовательной системы»</t>
  </si>
  <si>
    <t>Обеспечение функционирования учреждений дополнительного образования детей, в том числе с учетом современных требований энергоэффективности</t>
  </si>
  <si>
    <t>Повышение кадрового потенциала образовательных организаций (участие педагогов в областных семинарах, тренингах,конференциях)</t>
  </si>
  <si>
    <t>Подпрограмма 5. Летний отдых, оздоровление и занятость детей и молодёжи</t>
  </si>
  <si>
    <t>Подпрограмма 3 «Развитие системы воспитания, дополнительного образования, профилактики социального сиротства и жестокого обращения с детьми»</t>
  </si>
  <si>
    <t>1.1.  Строительство, реконструкция зданий дошкольных образовательных организаций, в том числе по Планам мероприятий муниципального образования «Холмский городской округ»</t>
  </si>
  <si>
    <t>1.2.  Капитальный ремонт зданий функционирующих дошкольных образовательных организаций</t>
  </si>
  <si>
    <t>Мероприятие 2. Организация временной занятости несовершеннолетних от 14 до 18 лет</t>
  </si>
  <si>
    <t>2.1. Развитие негосударственных и вариативных форм дошкольного образования</t>
  </si>
  <si>
    <t>Реализация плана поэтапного перехода к организации работы в дошкольных образовательных организациях в соответствии с федеральным государственным образовательным стандартом дошкольного образования</t>
  </si>
  <si>
    <t>Оплата труда работников общеобразовательных учреждений</t>
  </si>
  <si>
    <t>Оплата труда учителей, работающих в специальных (коррекционных) образовательных организациях для обучающихся воспитанников с ограниченными возможностями здоровья</t>
  </si>
  <si>
    <t>Конкурсный отбор общеобразовательных организаций, внедряющих инновационные образовательные программы и проекты. ("Лидер муниципальной системы образования", "Лучшее учреждение года")</t>
  </si>
  <si>
    <t xml:space="preserve">Обеспечение условий для детей-инвалидов, обучающихся на дому, с применением дистанционных образовательных технологий, в том числе: оплата труда учителей, работающих с детьми - инвалидами, обучающимися на дому </t>
  </si>
  <si>
    <t>Приложение № 3</t>
  </si>
  <si>
    <t xml:space="preserve">к муниципальной программе «Развитие образования в муниципальном образовании «Холмский городской округ» на 2015-2020 годы» </t>
  </si>
  <si>
    <t xml:space="preserve">Будут созданы условия для формирования позитивного образа педагога, повышения социального статуса и престижа профессии, трансформации и использования передового педагогического опыта лидеров образования и лучших педагогических практик       </t>
  </si>
  <si>
    <t xml:space="preserve">Укрепление материально – технической базы образовательных учреждений (капитальный ремонт, замена оконных блоков, благоустройство территории, в том числе разработка проектно-сметной документации) </t>
  </si>
  <si>
    <t>1.2.2.</t>
  </si>
  <si>
    <t>2016 -2017</t>
  </si>
  <si>
    <t>1.2.3.</t>
  </si>
  <si>
    <t>3.1.5.</t>
  </si>
  <si>
    <t>добавлена строка</t>
  </si>
  <si>
    <t>Обеспечение пожарной безопасности на территориях образовательных организаций и ликвидация травмоопасных факторов</t>
  </si>
  <si>
    <t>не было</t>
  </si>
  <si>
    <t>изменено</t>
  </si>
  <si>
    <t>и добавлена фраза в строке</t>
  </si>
  <si>
    <t>не убир.4244,7</t>
  </si>
  <si>
    <t>изменено название строки</t>
  </si>
  <si>
    <t>и изменено название строки</t>
  </si>
  <si>
    <t>с ОСОШ(516,3)</t>
  </si>
  <si>
    <t>с ОСОШ(420,0)</t>
  </si>
  <si>
    <t>не поменялось</t>
  </si>
  <si>
    <t>убрано 42 в отдельную строку</t>
  </si>
  <si>
    <t>не убираем 5224,9</t>
  </si>
  <si>
    <t>не убираем 1020,0</t>
  </si>
  <si>
    <t>не убираем 130,4</t>
  </si>
  <si>
    <t>не убираем 296,6</t>
  </si>
  <si>
    <t xml:space="preserve">убрано </t>
  </si>
  <si>
    <t>убрано</t>
  </si>
  <si>
    <t>убрали</t>
  </si>
  <si>
    <t>с ОСОШ (200,0)</t>
  </si>
  <si>
    <t>изменилось</t>
  </si>
  <si>
    <t>не изменилось</t>
  </si>
  <si>
    <t>Убрали ОБ</t>
  </si>
  <si>
    <t>не убираем 494,6</t>
  </si>
  <si>
    <t>с ОСОШ (300,0)</t>
  </si>
  <si>
    <t>нет в росписи</t>
  </si>
  <si>
    <t>убоали</t>
  </si>
  <si>
    <t>доб.МБ</t>
  </si>
  <si>
    <t>убр.329,1 МБ</t>
  </si>
  <si>
    <t>доб.ОБ и МБ</t>
  </si>
  <si>
    <t>доб.329,1</t>
  </si>
  <si>
    <t>с ОСОШ (444,4+27723)</t>
  </si>
  <si>
    <t>с ОСОШ (511,6+ 18191,2)</t>
  </si>
  <si>
    <t>с ОСОШ (532,0+20598,9)</t>
  </si>
  <si>
    <t>с ОСОШ(8463,0 + 462558,2)</t>
  </si>
  <si>
    <t>с ОСОШ(7313,+399429,7)</t>
  </si>
  <si>
    <t>с ОСОШ(7668,4+418887,9)</t>
  </si>
  <si>
    <t>с ОСОШ(420,0+11926)</t>
  </si>
  <si>
    <t>убрали 707 и 500</t>
  </si>
  <si>
    <t>доб.15,9</t>
  </si>
  <si>
    <t>доб.212,8</t>
  </si>
  <si>
    <t>доб.232,5</t>
  </si>
  <si>
    <t>доб.23</t>
  </si>
  <si>
    <t>сняли 23</t>
  </si>
  <si>
    <t>отдаем 51,8</t>
  </si>
  <si>
    <t>не убираем  ОБ 369,0 и 1346,2, только МБ</t>
  </si>
  <si>
    <t>на атитеррор по СОШ убрали</t>
  </si>
  <si>
    <t>Укрепление материально – технической базы образовательных учреждений. Капитальный ремонт МАОУ СОШ с. Яблочное (фасад)</t>
  </si>
  <si>
    <t>Укрепление материально – технической базы образовательных учреждений. Капитальный ремонт купола зимнего сада МБДОУ детского сада «Теремок» г. Холмска</t>
  </si>
  <si>
    <t>Укрепление материально – технической базы образовательных учреждений. Капитальный ремонт фасада здания МБДОУ детского сада № 6 "Ромашка" г. Холмска</t>
  </si>
  <si>
    <t>Компенсация части родительской платы за присмотр и уход за детьми в дошкольных  образовательных учреждениях</t>
  </si>
  <si>
    <t>Укрепление материально – технической базы образовательных учреждений. «Капитальный ремонт МБОУ СОШ с.Костромское» по адресу: Сахалинская область, Холмский район, с. Костромское, ул. Центральная, 4</t>
  </si>
  <si>
    <t>Обновление материально-технической базы общеобразовательных учреждений</t>
  </si>
  <si>
    <t>Осуществление организации питания обучающихся в образовательных организациях</t>
  </si>
  <si>
    <t>Среднемесячная заработная плата педагогических работников муниципальных общеобразовательных организаций будет соответствовать среднемесячной начисленной заработной плате наемных работников в организациях, у индивидуальных предпринимателей и физических лиц (среднемесячного дохода от трудовой деятельности) в Сахалинской области</t>
  </si>
  <si>
    <t>Оплата труда работников  дошкольной группы при общеобразовательных учреждениях</t>
  </si>
  <si>
    <t>Оснащение учебным,учебно-наглядным и учебно-лабораторным  оборудованием дошкольной группы при общеобразовательных учреждениях</t>
  </si>
  <si>
    <t>Ограждение участка административного здания по адресу:ул.Советская 68-А</t>
  </si>
  <si>
    <t>Комфортные и безопасные условия обучения и воспитания в  учреждениях дополнительного образования</t>
  </si>
  <si>
    <t>Осуществление организации питания обучающихся в (коррекционных) образовательных организациях для обучающихся воспитанников с ограниченными возможностями здоровья</t>
  </si>
  <si>
    <t>Обеспечение стабильного функционирования  общеобразовательных организаций</t>
  </si>
  <si>
    <t xml:space="preserve">Предоставление качественного, доступного и здорового питания детям и подросткам во время учебного процесса, сохранение и укрепление их здоровья
</t>
  </si>
  <si>
    <t xml:space="preserve">Материальная поддержка воспитания и обучения детей, посещающих образовательные организации, реализующие образовательную программу дошкольного образования, родителям (законным представителям)
</t>
  </si>
  <si>
    <t>Среднемесячная заработная плата педагогических работников муниципальных дошкольных образовательных организаций будет соответствовать среднемесячной заработной плате работников общего организаций образования, в регионе повысится качество кадрового состава дошкольного образования.</t>
  </si>
  <si>
    <t>Создание условий для функционирования лагерей с питанием: страхование, дератизация, акарицидная обработка, средства оказания первой медицинской помощи</t>
  </si>
  <si>
    <t>Строительство мастерских МБОУ СОШ № 9 г.Холмска</t>
  </si>
  <si>
    <t>1.2.4.</t>
  </si>
  <si>
    <t>1.3.2.</t>
  </si>
  <si>
    <t>1.3.3.</t>
  </si>
  <si>
    <t>1.3.4.</t>
  </si>
  <si>
    <t>1.4.1.</t>
  </si>
  <si>
    <t>1.4.2.</t>
  </si>
  <si>
    <t>1.5.1.</t>
  </si>
  <si>
    <t>1.6.1.</t>
  </si>
  <si>
    <t>3.2.1.1.</t>
  </si>
  <si>
    <t>3.2.3.</t>
  </si>
  <si>
    <t>3.2.4.</t>
  </si>
  <si>
    <t>3.2.5.</t>
  </si>
  <si>
    <t>3.2.6.</t>
  </si>
  <si>
    <t>1.4.3.</t>
  </si>
  <si>
    <t>2.1.2.</t>
  </si>
  <si>
    <t>2.2.1.</t>
  </si>
  <si>
    <t>3.1.3.</t>
  </si>
  <si>
    <t>3.1.6.</t>
  </si>
  <si>
    <t>4.1.</t>
  </si>
  <si>
    <t>4.2.</t>
  </si>
  <si>
    <t>2.2.5.</t>
  </si>
  <si>
    <t>2.2.6.</t>
  </si>
  <si>
    <t>2.1.3.</t>
  </si>
  <si>
    <t>2.1.4.</t>
  </si>
  <si>
    <t>5.1.2.</t>
  </si>
  <si>
    <t>5.1.3.</t>
  </si>
  <si>
    <t>5.1.4.</t>
  </si>
  <si>
    <t>5.1.5.</t>
  </si>
  <si>
    <t>5.1.6.</t>
  </si>
  <si>
    <t>5.1.7.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</si>
</sst>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30" x14ac:knownFonts="1">
    <font>
      <sz val="10"/>
      <name val="Arial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i/>
      <u/>
      <sz val="14"/>
      <name val="Times New Roman"/>
      <family val="1"/>
      <charset val="204"/>
    </font>
    <font>
      <sz val="14"/>
      <name val="Arial"/>
      <family val="2"/>
      <charset val="204"/>
    </font>
    <font>
      <b/>
      <i/>
      <u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Arial"/>
      <family val="2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2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1"/>
      <name val="Arial"/>
      <family val="2"/>
      <charset val="204"/>
    </font>
    <font>
      <b/>
      <sz val="14"/>
      <name val="Times New Roman"/>
      <family val="1"/>
      <charset val="204"/>
    </font>
    <font>
      <b/>
      <u/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u/>
      <sz val="14"/>
      <name val="Arial"/>
      <family val="2"/>
      <charset val="204"/>
    </font>
    <font>
      <sz val="12"/>
      <name val="Arial"/>
      <family val="2"/>
      <charset val="204"/>
    </font>
    <font>
      <sz val="9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24">
    <xf numFmtId="0" fontId="0" fillId="0" borderId="0" xfId="0"/>
    <xf numFmtId="4" fontId="3" fillId="0" borderId="1" xfId="0" applyNumberFormat="1" applyFont="1" applyFill="1" applyBorder="1" applyAlignment="1"/>
    <xf numFmtId="4" fontId="3" fillId="0" borderId="2" xfId="0" applyNumberFormat="1" applyFont="1" applyFill="1" applyBorder="1" applyAlignment="1"/>
    <xf numFmtId="4" fontId="8" fillId="0" borderId="2" xfId="0" applyNumberFormat="1" applyFont="1" applyFill="1" applyBorder="1" applyAlignment="1"/>
    <xf numFmtId="0" fontId="0" fillId="0" borderId="0" xfId="0" applyFill="1"/>
    <xf numFmtId="0" fontId="3" fillId="0" borderId="3" xfId="0" applyFont="1" applyFill="1" applyBorder="1" applyAlignment="1">
      <alignment horizontal="center"/>
    </xf>
    <xf numFmtId="0" fontId="8" fillId="0" borderId="3" xfId="0" applyFont="1" applyFill="1" applyBorder="1" applyAlignment="1">
      <alignment horizontal="justify" vertical="top" wrapText="1"/>
    </xf>
    <xf numFmtId="164" fontId="2" fillId="0" borderId="2" xfId="0" applyNumberFormat="1" applyFont="1" applyFill="1" applyBorder="1" applyAlignment="1"/>
    <xf numFmtId="164" fontId="7" fillId="0" borderId="2" xfId="0" applyNumberFormat="1" applyFont="1" applyFill="1" applyBorder="1" applyAlignment="1"/>
    <xf numFmtId="164" fontId="7" fillId="0" borderId="3" xfId="0" applyNumberFormat="1" applyFont="1" applyFill="1" applyBorder="1" applyAlignment="1"/>
    <xf numFmtId="164" fontId="2" fillId="0" borderId="3" xfId="0" applyNumberFormat="1" applyFont="1" applyFill="1" applyBorder="1" applyAlignment="1"/>
    <xf numFmtId="164" fontId="7" fillId="0" borderId="2" xfId="0" applyNumberFormat="1" applyFont="1" applyFill="1" applyBorder="1" applyAlignment="1">
      <alignment wrapText="1"/>
    </xf>
    <xf numFmtId="164" fontId="3" fillId="0" borderId="1" xfId="0" applyNumberFormat="1" applyFont="1" applyFill="1" applyBorder="1" applyAlignment="1"/>
    <xf numFmtId="164" fontId="8" fillId="0" borderId="2" xfId="0" applyNumberFormat="1" applyFont="1" applyFill="1" applyBorder="1" applyAlignment="1"/>
    <xf numFmtId="164" fontId="3" fillId="0" borderId="2" xfId="0" applyNumberFormat="1" applyFont="1" applyFill="1" applyBorder="1" applyAlignment="1"/>
    <xf numFmtId="164" fontId="12" fillId="0" borderId="2" xfId="0" applyNumberFormat="1" applyFont="1" applyFill="1" applyBorder="1" applyAlignment="1"/>
    <xf numFmtId="164" fontId="8" fillId="0" borderId="3" xfId="0" applyNumberFormat="1" applyFont="1" applyFill="1" applyBorder="1"/>
    <xf numFmtId="164" fontId="8" fillId="0" borderId="3" xfId="0" applyNumberFormat="1" applyFont="1" applyFill="1" applyBorder="1" applyAlignment="1">
      <alignment horizontal="right" vertical="top" wrapText="1"/>
    </xf>
    <xf numFmtId="164" fontId="8" fillId="0" borderId="2" xfId="0" applyNumberFormat="1" applyFont="1" applyFill="1" applyBorder="1" applyAlignment="1">
      <alignment horizontal="justify" vertical="top" wrapText="1"/>
    </xf>
    <xf numFmtId="164" fontId="8" fillId="0" borderId="3" xfId="0" applyNumberFormat="1" applyFont="1" applyFill="1" applyBorder="1" applyAlignment="1">
      <alignment horizontal="justify" vertical="top" wrapText="1"/>
    </xf>
    <xf numFmtId="164" fontId="8" fillId="0" borderId="2" xfId="0" applyNumberFormat="1" applyFont="1" applyFill="1" applyBorder="1" applyAlignment="1">
      <alignment horizontal="right" vertical="top" wrapText="1"/>
    </xf>
    <xf numFmtId="164" fontId="8" fillId="0" borderId="4" xfId="0" applyNumberFormat="1" applyFont="1" applyFill="1" applyBorder="1" applyAlignment="1">
      <alignment horizontal="right" vertical="top" wrapText="1"/>
    </xf>
    <xf numFmtId="164" fontId="8" fillId="0" borderId="3" xfId="0" applyNumberFormat="1" applyFont="1" applyFill="1" applyBorder="1" applyAlignment="1">
      <alignment horizontal="right"/>
    </xf>
    <xf numFmtId="164" fontId="14" fillId="0" borderId="2" xfId="0" applyNumberFormat="1" applyFont="1" applyFill="1" applyBorder="1" applyAlignment="1">
      <alignment horizontal="justify" vertical="top" wrapText="1"/>
    </xf>
    <xf numFmtId="0" fontId="8" fillId="0" borderId="2" xfId="0" applyFont="1" applyFill="1" applyBorder="1" applyAlignment="1"/>
    <xf numFmtId="0" fontId="0" fillId="0" borderId="3" xfId="0" applyFill="1" applyBorder="1"/>
    <xf numFmtId="164" fontId="0" fillId="0" borderId="3" xfId="0" applyNumberFormat="1" applyFill="1" applyBorder="1"/>
    <xf numFmtId="164" fontId="3" fillId="0" borderId="3" xfId="0" applyNumberFormat="1" applyFont="1" applyFill="1" applyBorder="1"/>
    <xf numFmtId="164" fontId="3" fillId="0" borderId="3" xfId="0" applyNumberFormat="1" applyFont="1" applyFill="1" applyBorder="1" applyAlignment="1"/>
    <xf numFmtId="0" fontId="14" fillId="0" borderId="0" xfId="0" applyFont="1" applyFill="1"/>
    <xf numFmtId="0" fontId="6" fillId="0" borderId="0" xfId="0" applyFont="1" applyFill="1" applyBorder="1" applyAlignment="1">
      <alignment wrapText="1"/>
    </xf>
    <xf numFmtId="0" fontId="8" fillId="0" borderId="0" xfId="0" applyFont="1" applyFill="1" applyBorder="1" applyAlignment="1">
      <alignment wrapText="1"/>
    </xf>
    <xf numFmtId="0" fontId="8" fillId="0" borderId="3" xfId="0" applyFont="1" applyFill="1" applyBorder="1" applyAlignment="1"/>
    <xf numFmtId="0" fontId="0" fillId="0" borderId="0" xfId="0" applyFill="1" applyBorder="1" applyAlignment="1">
      <alignment wrapText="1"/>
    </xf>
    <xf numFmtId="0" fontId="0" fillId="0" borderId="0" xfId="0" applyFill="1" applyBorder="1"/>
    <xf numFmtId="0" fontId="7" fillId="0" borderId="0" xfId="0" applyFont="1" applyFill="1" applyBorder="1" applyAlignment="1">
      <alignment vertical="top" wrapText="1"/>
    </xf>
    <xf numFmtId="164" fontId="0" fillId="0" borderId="2" xfId="0" applyNumberFormat="1" applyFill="1" applyBorder="1" applyAlignment="1"/>
    <xf numFmtId="0" fontId="8" fillId="0" borderId="5" xfId="0" applyFont="1" applyFill="1" applyBorder="1" applyAlignment="1">
      <alignment horizontal="justify" vertical="top" wrapText="1"/>
    </xf>
    <xf numFmtId="0" fontId="8" fillId="0" borderId="6" xfId="0" applyFont="1" applyFill="1" applyBorder="1" applyAlignment="1">
      <alignment horizontal="justify" vertical="top" wrapText="1"/>
    </xf>
    <xf numFmtId="0" fontId="2" fillId="0" borderId="0" xfId="0" applyFont="1" applyFill="1" applyBorder="1" applyAlignment="1">
      <alignment wrapText="1"/>
    </xf>
    <xf numFmtId="0" fontId="3" fillId="0" borderId="3" xfId="0" applyFont="1" applyFill="1" applyBorder="1"/>
    <xf numFmtId="0" fontId="0" fillId="0" borderId="0" xfId="0" applyFill="1" applyBorder="1" applyAlignment="1">
      <alignment horizontal="justify" vertical="top" wrapText="1"/>
    </xf>
    <xf numFmtId="0" fontId="7" fillId="0" borderId="0" xfId="0" applyFont="1" applyFill="1" applyBorder="1" applyAlignment="1">
      <alignment horizontal="justify" vertical="top" wrapText="1"/>
    </xf>
    <xf numFmtId="0" fontId="11" fillId="0" borderId="3" xfId="0" applyFont="1" applyFill="1" applyBorder="1" applyAlignment="1">
      <alignment horizontal="justify" vertical="top" wrapText="1"/>
    </xf>
    <xf numFmtId="164" fontId="11" fillId="0" borderId="3" xfId="0" applyNumberFormat="1" applyFont="1" applyFill="1" applyBorder="1" applyAlignment="1">
      <alignment horizontal="justify" vertical="top" wrapText="1"/>
    </xf>
    <xf numFmtId="0" fontId="14" fillId="0" borderId="7" xfId="0" applyFont="1" applyFill="1" applyBorder="1" applyAlignment="1">
      <alignment vertical="top" wrapText="1"/>
    </xf>
    <xf numFmtId="0" fontId="14" fillId="0" borderId="8" xfId="0" applyFont="1" applyFill="1" applyBorder="1" applyAlignment="1">
      <alignment vertical="top" wrapText="1"/>
    </xf>
    <xf numFmtId="0" fontId="14" fillId="0" borderId="0" xfId="0" applyFont="1" applyFill="1" applyBorder="1" applyAlignment="1">
      <alignment vertical="top" wrapText="1"/>
    </xf>
    <xf numFmtId="0" fontId="14" fillId="0" borderId="9" xfId="0" applyFont="1" applyFill="1" applyBorder="1" applyAlignment="1">
      <alignment vertical="top" wrapText="1"/>
    </xf>
    <xf numFmtId="0" fontId="7" fillId="0" borderId="10" xfId="0" applyFont="1" applyFill="1" applyBorder="1" applyAlignment="1"/>
    <xf numFmtId="0" fontId="3" fillId="0" borderId="4" xfId="0" applyFont="1" applyFill="1" applyBorder="1" applyAlignment="1"/>
    <xf numFmtId="164" fontId="8" fillId="0" borderId="3" xfId="0" applyNumberFormat="1" applyFont="1" applyFill="1" applyBorder="1" applyAlignment="1"/>
    <xf numFmtId="0" fontId="15" fillId="0" borderId="0" xfId="0" applyFont="1" applyFill="1" applyBorder="1" applyAlignment="1">
      <alignment horizontal="justify" vertical="top" wrapText="1"/>
    </xf>
    <xf numFmtId="4" fontId="0" fillId="0" borderId="0" xfId="0" applyNumberFormat="1" applyFill="1" applyBorder="1"/>
    <xf numFmtId="0" fontId="18" fillId="0" borderId="0" xfId="0" applyFont="1" applyFill="1" applyBorder="1" applyAlignment="1">
      <alignment horizontal="justify" vertical="top" wrapText="1"/>
    </xf>
    <xf numFmtId="0" fontId="0" fillId="0" borderId="0" xfId="0" applyFill="1" applyBorder="1" applyAlignment="1"/>
    <xf numFmtId="0" fontId="8" fillId="0" borderId="11" xfId="0" applyFont="1" applyFill="1" applyBorder="1" applyAlignment="1">
      <alignment horizontal="justify" vertical="top" wrapText="1"/>
    </xf>
    <xf numFmtId="164" fontId="2" fillId="0" borderId="2" xfId="0" applyNumberFormat="1" applyFont="1" applyFill="1" applyBorder="1"/>
    <xf numFmtId="0" fontId="2" fillId="0" borderId="2" xfId="0" applyFont="1" applyFill="1" applyBorder="1"/>
    <xf numFmtId="0" fontId="20" fillId="0" borderId="11" xfId="0" applyFont="1" applyFill="1" applyBorder="1" applyAlignment="1">
      <alignment wrapText="1"/>
    </xf>
    <xf numFmtId="0" fontId="20" fillId="0" borderId="12" xfId="0" applyFont="1" applyFill="1" applyBorder="1" applyAlignment="1">
      <alignment wrapText="1"/>
    </xf>
    <xf numFmtId="0" fontId="8" fillId="0" borderId="2" xfId="0" applyFont="1" applyFill="1" applyBorder="1" applyAlignment="1">
      <alignment horizontal="justify" vertical="top" wrapText="1"/>
    </xf>
    <xf numFmtId="0" fontId="20" fillId="0" borderId="11" xfId="0" applyFont="1" applyFill="1" applyBorder="1" applyAlignment="1">
      <alignment horizontal="justify" vertical="top" wrapText="1"/>
    </xf>
    <xf numFmtId="0" fontId="20" fillId="0" borderId="12" xfId="0" applyFont="1" applyFill="1" applyBorder="1" applyAlignment="1">
      <alignment horizontal="justify" vertical="top" wrapText="1"/>
    </xf>
    <xf numFmtId="0" fontId="20" fillId="0" borderId="0" xfId="0" applyFont="1" applyFill="1" applyBorder="1" applyAlignment="1">
      <alignment vertical="top" wrapText="1"/>
    </xf>
    <xf numFmtId="0" fontId="20" fillId="0" borderId="9" xfId="0" applyFont="1" applyFill="1" applyBorder="1" applyAlignment="1">
      <alignment vertical="top" wrapText="1"/>
    </xf>
    <xf numFmtId="0" fontId="15" fillId="0" borderId="11" xfId="0" applyFont="1" applyFill="1" applyBorder="1" applyAlignment="1">
      <alignment vertical="top" wrapText="1"/>
    </xf>
    <xf numFmtId="0" fontId="15" fillId="0" borderId="12" xfId="0" applyFont="1" applyFill="1" applyBorder="1" applyAlignment="1">
      <alignment vertical="top" wrapText="1"/>
    </xf>
    <xf numFmtId="0" fontId="18" fillId="0" borderId="11" xfId="0" applyFont="1" applyFill="1" applyBorder="1" applyAlignment="1">
      <alignment wrapText="1"/>
    </xf>
    <xf numFmtId="0" fontId="18" fillId="0" borderId="12" xfId="0" applyFont="1" applyFill="1" applyBorder="1" applyAlignment="1">
      <alignment wrapText="1"/>
    </xf>
    <xf numFmtId="0" fontId="8" fillId="0" borderId="11" xfId="0" applyFont="1" applyFill="1" applyBorder="1" applyAlignment="1">
      <alignment wrapText="1"/>
    </xf>
    <xf numFmtId="0" fontId="8" fillId="0" borderId="12" xfId="0" applyFont="1" applyFill="1" applyBorder="1" applyAlignment="1">
      <alignment wrapText="1"/>
    </xf>
    <xf numFmtId="0" fontId="8" fillId="0" borderId="12" xfId="0" applyFont="1" applyFill="1" applyBorder="1" applyAlignment="1">
      <alignment horizontal="justify" vertical="top" wrapText="1"/>
    </xf>
    <xf numFmtId="0" fontId="16" fillId="0" borderId="11" xfId="0" applyFont="1" applyFill="1" applyBorder="1" applyAlignment="1">
      <alignment wrapText="1"/>
    </xf>
    <xf numFmtId="0" fontId="16" fillId="0" borderId="12" xfId="0" applyFont="1" applyFill="1" applyBorder="1" applyAlignment="1">
      <alignment wrapText="1"/>
    </xf>
    <xf numFmtId="0" fontId="7" fillId="0" borderId="7" xfId="0" applyFont="1" applyFill="1" applyBorder="1" applyAlignment="1">
      <alignment horizontal="justify" vertical="top" wrapText="1"/>
    </xf>
    <xf numFmtId="0" fontId="6" fillId="0" borderId="0" xfId="0" applyFont="1" applyFill="1" applyBorder="1" applyAlignment="1">
      <alignment vertical="top" wrapText="1"/>
    </xf>
    <xf numFmtId="0" fontId="8" fillId="0" borderId="7" xfId="0" applyFont="1" applyFill="1" applyBorder="1" applyAlignment="1">
      <alignment wrapText="1"/>
    </xf>
    <xf numFmtId="0" fontId="8" fillId="0" borderId="8" xfId="0" applyFont="1" applyFill="1" applyBorder="1" applyAlignment="1">
      <alignment wrapText="1"/>
    </xf>
    <xf numFmtId="164" fontId="3" fillId="0" borderId="4" xfId="0" applyNumberFormat="1" applyFont="1" applyFill="1" applyBorder="1" applyAlignment="1">
      <alignment horizontal="right" vertical="top" wrapText="1"/>
    </xf>
    <xf numFmtId="4" fontId="3" fillId="0" borderId="4" xfId="0" applyNumberFormat="1" applyFont="1" applyFill="1" applyBorder="1" applyAlignment="1">
      <alignment horizontal="justify" vertical="top" wrapText="1"/>
    </xf>
    <xf numFmtId="0" fontId="8" fillId="0" borderId="11" xfId="0" applyFont="1" applyFill="1" applyBorder="1" applyAlignment="1">
      <alignment vertical="top" wrapText="1"/>
    </xf>
    <xf numFmtId="0" fontId="8" fillId="0" borderId="12" xfId="0" applyFont="1" applyFill="1" applyBorder="1" applyAlignment="1">
      <alignment vertical="top" wrapText="1"/>
    </xf>
    <xf numFmtId="0" fontId="11" fillId="0" borderId="11" xfId="0" applyFont="1" applyFill="1" applyBorder="1" applyAlignment="1">
      <alignment wrapText="1"/>
    </xf>
    <xf numFmtId="0" fontId="11" fillId="0" borderId="12" xfId="0" applyFont="1" applyFill="1" applyBorder="1" applyAlignment="1">
      <alignment wrapText="1"/>
    </xf>
    <xf numFmtId="164" fontId="3" fillId="0" borderId="4" xfId="0" applyNumberFormat="1" applyFont="1" applyFill="1" applyBorder="1" applyAlignment="1">
      <alignment horizontal="justify" vertical="top" wrapText="1"/>
    </xf>
    <xf numFmtId="164" fontId="3" fillId="0" borderId="15" xfId="0" applyNumberFormat="1" applyFont="1" applyFill="1" applyBorder="1" applyAlignment="1">
      <alignment horizontal="justify" vertical="top" wrapText="1"/>
    </xf>
    <xf numFmtId="0" fontId="7" fillId="0" borderId="11" xfId="0" applyFont="1" applyFill="1" applyBorder="1" applyAlignment="1">
      <alignment wrapText="1"/>
    </xf>
    <xf numFmtId="0" fontId="7" fillId="0" borderId="12" xfId="0" applyFont="1" applyFill="1" applyBorder="1" applyAlignment="1">
      <alignment wrapText="1"/>
    </xf>
    <xf numFmtId="164" fontId="8" fillId="0" borderId="15" xfId="0" applyNumberFormat="1" applyFont="1" applyFill="1" applyBorder="1" applyAlignment="1">
      <alignment horizontal="right" vertical="top" wrapText="1"/>
    </xf>
    <xf numFmtId="164" fontId="3" fillId="0" borderId="10" xfId="0" applyNumberFormat="1" applyFont="1" applyFill="1" applyBorder="1" applyAlignment="1"/>
    <xf numFmtId="0" fontId="0" fillId="0" borderId="2" xfId="0" applyFill="1" applyBorder="1"/>
    <xf numFmtId="164" fontId="2" fillId="0" borderId="2" xfId="0" applyNumberFormat="1" applyFont="1" applyFill="1" applyBorder="1" applyAlignment="1">
      <alignment wrapText="1"/>
    </xf>
    <xf numFmtId="0" fontId="20" fillId="0" borderId="5" xfId="0" applyFont="1" applyFill="1" applyBorder="1" applyAlignment="1">
      <alignment vertical="top" wrapText="1"/>
    </xf>
    <xf numFmtId="0" fontId="20" fillId="0" borderId="6" xfId="0" applyFont="1" applyFill="1" applyBorder="1" applyAlignment="1">
      <alignment vertical="top" wrapText="1"/>
    </xf>
    <xf numFmtId="164" fontId="3" fillId="0" borderId="2" xfId="0" applyNumberFormat="1" applyFont="1" applyFill="1" applyBorder="1" applyAlignment="1">
      <alignment horizontal="right" vertical="top" wrapText="1"/>
    </xf>
    <xf numFmtId="2" fontId="0" fillId="0" borderId="0" xfId="0" applyNumberFormat="1" applyFill="1"/>
    <xf numFmtId="0" fontId="7" fillId="0" borderId="2" xfId="0" applyFont="1" applyFill="1" applyBorder="1" applyAlignment="1">
      <alignment horizontal="center" vertical="center" wrapText="1"/>
    </xf>
    <xf numFmtId="164" fontId="8" fillId="0" borderId="3" xfId="0" applyNumberFormat="1" applyFont="1" applyFill="1" applyBorder="1" applyAlignment="1">
      <alignment horizontal="justify" wrapText="1"/>
    </xf>
    <xf numFmtId="0" fontId="14" fillId="0" borderId="2" xfId="0" applyFont="1" applyFill="1" applyBorder="1" applyAlignment="1">
      <alignment horizontal="center" vertical="center" wrapText="1"/>
    </xf>
    <xf numFmtId="164" fontId="8" fillId="0" borderId="4" xfId="0" applyNumberFormat="1" applyFont="1" applyFill="1" applyBorder="1" applyAlignment="1">
      <alignment horizontal="right" wrapText="1"/>
    </xf>
    <xf numFmtId="0" fontId="21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justify" vertical="center" wrapText="1"/>
    </xf>
    <xf numFmtId="0" fontId="21" fillId="0" borderId="2" xfId="0" applyFont="1" applyFill="1" applyBorder="1" applyAlignment="1">
      <alignment horizontal="justify" vertical="center" wrapText="1"/>
    </xf>
    <xf numFmtId="0" fontId="14" fillId="0" borderId="2" xfId="0" applyFont="1" applyFill="1" applyBorder="1" applyAlignment="1">
      <alignment horizontal="justify" vertical="top" wrapText="1"/>
    </xf>
    <xf numFmtId="0" fontId="14" fillId="0" borderId="11" xfId="0" applyFont="1" applyFill="1" applyBorder="1" applyAlignment="1">
      <alignment wrapText="1"/>
    </xf>
    <xf numFmtId="0" fontId="14" fillId="0" borderId="12" xfId="0" applyFont="1" applyFill="1" applyBorder="1" applyAlignment="1">
      <alignment wrapText="1"/>
    </xf>
    <xf numFmtId="0" fontId="11" fillId="0" borderId="2" xfId="0" applyFont="1" applyFill="1" applyBorder="1" applyAlignment="1">
      <alignment horizontal="justify" vertical="top" wrapText="1"/>
    </xf>
    <xf numFmtId="164" fontId="8" fillId="0" borderId="2" xfId="0" applyNumberFormat="1" applyFont="1" applyFill="1" applyBorder="1" applyAlignment="1">
      <alignment horizontal="justify" wrapText="1"/>
    </xf>
    <xf numFmtId="164" fontId="11" fillId="0" borderId="2" xfId="0" applyNumberFormat="1" applyFont="1" applyFill="1" applyBorder="1" applyAlignment="1">
      <alignment horizontal="justify" vertical="top" wrapText="1"/>
    </xf>
    <xf numFmtId="164" fontId="8" fillId="0" borderId="2" xfId="0" applyNumberFormat="1" applyFont="1" applyFill="1" applyBorder="1"/>
    <xf numFmtId="164" fontId="12" fillId="0" borderId="2" xfId="0" applyNumberFormat="1" applyFont="1" applyFill="1" applyBorder="1"/>
    <xf numFmtId="164" fontId="3" fillId="0" borderId="16" xfId="0" applyNumberFormat="1" applyFont="1" applyFill="1" applyBorder="1" applyAlignment="1"/>
    <xf numFmtId="164" fontId="8" fillId="0" borderId="16" xfId="0" applyNumberFormat="1" applyFont="1" applyFill="1" applyBorder="1" applyAlignment="1"/>
    <xf numFmtId="0" fontId="0" fillId="0" borderId="3" xfId="0" applyFill="1" applyBorder="1" applyAlignment="1"/>
    <xf numFmtId="164" fontId="3" fillId="0" borderId="30" xfId="0" applyNumberFormat="1" applyFont="1" applyFill="1" applyBorder="1" applyAlignment="1">
      <alignment horizontal="right" vertical="top" wrapText="1"/>
    </xf>
    <xf numFmtId="0" fontId="8" fillId="0" borderId="42" xfId="0" applyFont="1" applyFill="1" applyBorder="1" applyAlignment="1">
      <alignment horizontal="justify" vertical="top" wrapText="1"/>
    </xf>
    <xf numFmtId="164" fontId="8" fillId="0" borderId="42" xfId="0" applyNumberFormat="1" applyFont="1" applyFill="1" applyBorder="1" applyAlignment="1">
      <alignment horizontal="right" vertical="top" wrapText="1"/>
    </xf>
    <xf numFmtId="164" fontId="8" fillId="0" borderId="42" xfId="0" applyNumberFormat="1" applyFont="1" applyFill="1" applyBorder="1" applyAlignment="1">
      <alignment horizontal="justify" vertical="top" wrapText="1"/>
    </xf>
    <xf numFmtId="0" fontId="8" fillId="0" borderId="43" xfId="0" applyFont="1" applyFill="1" applyBorder="1" applyAlignment="1">
      <alignment horizontal="justify" vertical="top" wrapText="1"/>
    </xf>
    <xf numFmtId="0" fontId="16" fillId="0" borderId="42" xfId="0" applyFont="1" applyFill="1" applyBorder="1" applyAlignment="1">
      <alignment horizontal="justify" vertical="top" wrapText="1"/>
    </xf>
    <xf numFmtId="164" fontId="11" fillId="0" borderId="42" xfId="0" applyNumberFormat="1" applyFont="1" applyFill="1" applyBorder="1" applyAlignment="1">
      <alignment horizontal="justify" vertical="top" wrapText="1"/>
    </xf>
    <xf numFmtId="0" fontId="11" fillId="0" borderId="43" xfId="0" applyFont="1" applyFill="1" applyBorder="1" applyAlignment="1">
      <alignment horizontal="justify" vertical="top" wrapText="1"/>
    </xf>
    <xf numFmtId="0" fontId="1" fillId="0" borderId="0" xfId="0" applyFont="1" applyFill="1"/>
    <xf numFmtId="0" fontId="8" fillId="0" borderId="16" xfId="0" applyFont="1" applyFill="1" applyBorder="1" applyAlignment="1">
      <alignment horizontal="justify" vertical="top" wrapText="1"/>
    </xf>
    <xf numFmtId="0" fontId="2" fillId="0" borderId="16" xfId="0" applyFont="1" applyFill="1" applyBorder="1"/>
    <xf numFmtId="164" fontId="2" fillId="0" borderId="42" xfId="0" applyNumberFormat="1" applyFont="1" applyFill="1" applyBorder="1"/>
    <xf numFmtId="0" fontId="2" fillId="0" borderId="43" xfId="0" applyFont="1" applyFill="1" applyBorder="1"/>
    <xf numFmtId="0" fontId="1" fillId="0" borderId="0" xfId="0" applyFont="1" applyFill="1" applyBorder="1"/>
    <xf numFmtId="0" fontId="29" fillId="0" borderId="0" xfId="0" applyFont="1" applyFill="1"/>
    <xf numFmtId="164" fontId="3" fillId="0" borderId="0" xfId="0" applyNumberFormat="1" applyFont="1" applyFill="1" applyBorder="1" applyAlignment="1"/>
    <xf numFmtId="0" fontId="7" fillId="0" borderId="2" xfId="0" applyFont="1" applyFill="1" applyBorder="1" applyAlignment="1">
      <alignment wrapText="1"/>
    </xf>
    <xf numFmtId="0" fontId="9" fillId="0" borderId="2" xfId="0" applyFont="1" applyFill="1" applyBorder="1" applyAlignment="1">
      <alignment wrapText="1"/>
    </xf>
    <xf numFmtId="0" fontId="3" fillId="0" borderId="0" xfId="0" applyFont="1" applyFill="1" applyBorder="1" applyAlignment="1">
      <alignment horizontal="justify" vertical="top" wrapText="1"/>
    </xf>
    <xf numFmtId="0" fontId="8" fillId="0" borderId="0" xfId="0" applyFont="1" applyFill="1" applyBorder="1" applyAlignment="1">
      <alignment horizontal="justify" vertical="top" wrapText="1"/>
    </xf>
    <xf numFmtId="0" fontId="7" fillId="0" borderId="2" xfId="0" applyFont="1" applyFill="1" applyBorder="1" applyAlignment="1">
      <alignment horizontal="justify" vertical="top" wrapText="1"/>
    </xf>
    <xf numFmtId="0" fontId="7" fillId="0" borderId="3" xfId="0" applyFont="1" applyFill="1" applyBorder="1" applyAlignment="1">
      <alignment horizontal="justify" vertical="top" wrapText="1"/>
    </xf>
    <xf numFmtId="0" fontId="2" fillId="0" borderId="2" xfId="0" applyFont="1" applyFill="1" applyBorder="1" applyAlignment="1">
      <alignment horizontal="justify" vertical="top" wrapText="1"/>
    </xf>
    <xf numFmtId="0" fontId="0" fillId="0" borderId="2" xfId="0" applyFill="1" applyBorder="1" applyAlignment="1">
      <alignment wrapText="1"/>
    </xf>
    <xf numFmtId="0" fontId="2" fillId="0" borderId="2" xfId="0" applyFont="1" applyFill="1" applyBorder="1" applyAlignment="1">
      <alignment vertical="center" wrapText="1"/>
    </xf>
    <xf numFmtId="0" fontId="3" fillId="0" borderId="2" xfId="0" applyFont="1" applyFill="1" applyBorder="1" applyAlignment="1"/>
    <xf numFmtId="0" fontId="7" fillId="0" borderId="10" xfId="0" applyFont="1" applyFill="1" applyBorder="1" applyAlignment="1">
      <alignment horizontal="justify" vertical="top" wrapText="1"/>
    </xf>
    <xf numFmtId="0" fontId="0" fillId="0" borderId="24" xfId="0" applyFill="1" applyBorder="1" applyAlignment="1">
      <alignment horizontal="justify" vertical="top" wrapText="1"/>
    </xf>
    <xf numFmtId="0" fontId="0" fillId="0" borderId="4" xfId="0" applyFill="1" applyBorder="1" applyAlignment="1">
      <alignment horizontal="justify" vertical="top" wrapText="1"/>
    </xf>
    <xf numFmtId="0" fontId="0" fillId="0" borderId="2" xfId="0" applyFill="1" applyBorder="1" applyAlignment="1">
      <alignment horizontal="justify" vertical="top" wrapText="1"/>
    </xf>
    <xf numFmtId="0" fontId="3" fillId="0" borderId="0" xfId="0" applyFont="1" applyFill="1" applyAlignment="1">
      <alignment horizontal="justify"/>
    </xf>
    <xf numFmtId="0" fontId="2" fillId="0" borderId="2" xfId="0" applyFont="1" applyFill="1" applyBorder="1" applyAlignment="1">
      <alignment horizontal="center" wrapText="1"/>
    </xf>
    <xf numFmtId="0" fontId="3" fillId="0" borderId="3" xfId="0" applyFont="1" applyFill="1" applyBorder="1" applyAlignment="1"/>
    <xf numFmtId="0" fontId="3" fillId="0" borderId="1" xfId="0" applyFont="1" applyFill="1" applyBorder="1" applyAlignment="1"/>
    <xf numFmtId="0" fontId="0" fillId="0" borderId="2" xfId="0" applyFill="1" applyBorder="1" applyAlignment="1"/>
    <xf numFmtId="0" fontId="3" fillId="0" borderId="16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7" fillId="0" borderId="34" xfId="0" applyFont="1" applyFill="1" applyBorder="1" applyAlignment="1">
      <alignment horizontal="justify" vertical="top" wrapText="1"/>
    </xf>
    <xf numFmtId="0" fontId="9" fillId="0" borderId="11" xfId="0" applyFont="1" applyFill="1" applyBorder="1" applyAlignment="1">
      <alignment horizontal="justify" vertical="top" wrapText="1"/>
    </xf>
    <xf numFmtId="0" fontId="14" fillId="0" borderId="34" xfId="0" applyFont="1" applyFill="1" applyBorder="1" applyAlignment="1">
      <alignment horizontal="justify" vertical="top" wrapText="1"/>
    </xf>
    <xf numFmtId="0" fontId="22" fillId="0" borderId="11" xfId="0" applyFont="1" applyFill="1" applyBorder="1" applyAlignment="1">
      <alignment horizontal="justify" vertical="top" wrapText="1"/>
    </xf>
    <xf numFmtId="0" fontId="22" fillId="0" borderId="12" xfId="0" applyFont="1" applyFill="1" applyBorder="1" applyAlignment="1">
      <alignment horizontal="justify" vertical="top" wrapText="1"/>
    </xf>
    <xf numFmtId="0" fontId="3" fillId="0" borderId="16" xfId="0" applyFont="1" applyFill="1" applyBorder="1" applyAlignment="1">
      <alignment horizontal="justify" wrapText="1"/>
    </xf>
    <xf numFmtId="0" fontId="22" fillId="0" borderId="16" xfId="0" applyFont="1" applyFill="1" applyBorder="1" applyAlignment="1"/>
    <xf numFmtId="0" fontId="22" fillId="0" borderId="17" xfId="0" applyFont="1" applyFill="1" applyBorder="1" applyAlignment="1"/>
    <xf numFmtId="0" fontId="2" fillId="0" borderId="1" xfId="0" applyFont="1" applyFill="1" applyBorder="1" applyAlignment="1">
      <alignment wrapText="1"/>
    </xf>
    <xf numFmtId="0" fontId="2" fillId="0" borderId="2" xfId="0" applyFont="1" applyFill="1" applyBorder="1" applyAlignment="1">
      <alignment wrapText="1"/>
    </xf>
    <xf numFmtId="0" fontId="10" fillId="0" borderId="16" xfId="0" applyFont="1" applyFill="1" applyBorder="1" applyAlignment="1">
      <alignment horizontal="center" vertical="center" wrapText="1"/>
    </xf>
    <xf numFmtId="0" fontId="0" fillId="0" borderId="16" xfId="0" applyFill="1" applyBorder="1" applyAlignment="1">
      <alignment horizontal="center" vertical="center" wrapText="1"/>
    </xf>
    <xf numFmtId="0" fontId="0" fillId="0" borderId="17" xfId="0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top" wrapText="1"/>
    </xf>
    <xf numFmtId="0" fontId="2" fillId="0" borderId="2" xfId="0" applyFont="1" applyFill="1" applyBorder="1" applyAlignment="1">
      <alignment horizontal="justify" vertical="top" wrapText="1"/>
    </xf>
    <xf numFmtId="49" fontId="10" fillId="0" borderId="10" xfId="0" applyNumberFormat="1" applyFont="1" applyFill="1" applyBorder="1" applyAlignment="1">
      <alignment horizontal="justify" wrapText="1"/>
    </xf>
    <xf numFmtId="49" fontId="0" fillId="0" borderId="10" xfId="0" applyNumberFormat="1" applyFill="1" applyBorder="1" applyAlignment="1"/>
    <xf numFmtId="49" fontId="0" fillId="0" borderId="13" xfId="0" applyNumberFormat="1" applyFill="1" applyBorder="1" applyAlignment="1"/>
    <xf numFmtId="0" fontId="2" fillId="0" borderId="33" xfId="0" applyFont="1" applyFill="1" applyBorder="1" applyAlignment="1">
      <alignment wrapText="1"/>
    </xf>
    <xf numFmtId="0" fontId="9" fillId="0" borderId="32" xfId="0" applyFont="1" applyFill="1" applyBorder="1" applyAlignment="1">
      <alignment wrapText="1"/>
    </xf>
    <xf numFmtId="0" fontId="10" fillId="0" borderId="2" xfId="0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justify" vertical="top" wrapText="1"/>
    </xf>
    <xf numFmtId="0" fontId="9" fillId="0" borderId="3" xfId="0" applyFont="1" applyFill="1" applyBorder="1" applyAlignment="1">
      <alignment horizontal="justify" vertical="top" wrapText="1"/>
    </xf>
    <xf numFmtId="0" fontId="7" fillId="0" borderId="41" xfId="0" applyFont="1" applyFill="1" applyBorder="1" applyAlignment="1">
      <alignment wrapText="1"/>
    </xf>
    <xf numFmtId="0" fontId="9" fillId="0" borderId="42" xfId="0" applyFont="1" applyFill="1" applyBorder="1" applyAlignment="1">
      <alignment wrapText="1"/>
    </xf>
    <xf numFmtId="0" fontId="9" fillId="0" borderId="43" xfId="0" applyFont="1" applyFill="1" applyBorder="1" applyAlignment="1">
      <alignment wrapText="1"/>
    </xf>
    <xf numFmtId="0" fontId="9" fillId="0" borderId="2" xfId="0" applyFont="1" applyFill="1" applyBorder="1" applyAlignment="1">
      <alignment wrapText="1"/>
    </xf>
    <xf numFmtId="0" fontId="7" fillId="0" borderId="34" xfId="0" applyFont="1" applyFill="1" applyBorder="1" applyAlignment="1">
      <alignment wrapText="1"/>
    </xf>
    <xf numFmtId="0" fontId="0" fillId="0" borderId="11" xfId="0" applyFill="1" applyBorder="1" applyAlignment="1">
      <alignment wrapText="1"/>
    </xf>
    <xf numFmtId="0" fontId="0" fillId="0" borderId="12" xfId="0" applyFill="1" applyBorder="1" applyAlignment="1">
      <alignment wrapText="1"/>
    </xf>
    <xf numFmtId="49" fontId="3" fillId="0" borderId="19" xfId="0" applyNumberFormat="1" applyFont="1" applyFill="1" applyBorder="1" applyAlignment="1"/>
    <xf numFmtId="49" fontId="3" fillId="0" borderId="10" xfId="0" applyNumberFormat="1" applyFont="1" applyFill="1" applyBorder="1" applyAlignment="1"/>
    <xf numFmtId="49" fontId="3" fillId="0" borderId="13" xfId="0" applyNumberFormat="1" applyFont="1" applyFill="1" applyBorder="1" applyAlignment="1"/>
    <xf numFmtId="0" fontId="9" fillId="0" borderId="3" xfId="0" applyFont="1" applyFill="1" applyBorder="1" applyAlignment="1">
      <alignment wrapText="1"/>
    </xf>
    <xf numFmtId="0" fontId="10" fillId="0" borderId="3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justify" vertical="top" wrapText="1"/>
    </xf>
    <xf numFmtId="0" fontId="22" fillId="0" borderId="2" xfId="0" applyFont="1" applyFill="1" applyBorder="1" applyAlignment="1">
      <alignment horizontal="justify" vertical="top" wrapText="1"/>
    </xf>
    <xf numFmtId="49" fontId="3" fillId="0" borderId="2" xfId="0" applyNumberFormat="1" applyFont="1" applyFill="1" applyBorder="1" applyAlignment="1"/>
    <xf numFmtId="0" fontId="3" fillId="0" borderId="2" xfId="0" applyFont="1" applyFill="1" applyBorder="1" applyAlignment="1">
      <alignment horizontal="center" vertical="center" wrapText="1"/>
    </xf>
    <xf numFmtId="0" fontId="7" fillId="0" borderId="32" xfId="0" applyFont="1" applyFill="1" applyBorder="1" applyAlignment="1">
      <alignment horizontal="justify" vertical="top" wrapText="1"/>
    </xf>
    <xf numFmtId="0" fontId="9" fillId="0" borderId="0" xfId="0" applyFont="1" applyFill="1" applyBorder="1" applyAlignment="1">
      <alignment horizontal="justify" vertical="top" wrapText="1"/>
    </xf>
    <xf numFmtId="0" fontId="14" fillId="0" borderId="3" xfId="0" applyFont="1" applyFill="1" applyBorder="1" applyAlignment="1"/>
    <xf numFmtId="0" fontId="17" fillId="0" borderId="2" xfId="0" applyFont="1" applyFill="1" applyBorder="1" applyAlignment="1">
      <alignment horizontal="justify" vertical="top" wrapText="1"/>
    </xf>
    <xf numFmtId="0" fontId="9" fillId="0" borderId="2" xfId="0" applyFont="1" applyFill="1" applyBorder="1" applyAlignment="1">
      <alignment horizontal="justify" vertical="top" wrapText="1"/>
    </xf>
    <xf numFmtId="0" fontId="19" fillId="0" borderId="3" xfId="0" applyFont="1" applyFill="1" applyBorder="1" applyAlignment="1">
      <alignment horizontal="justify" wrapText="1"/>
    </xf>
    <xf numFmtId="0" fontId="9" fillId="0" borderId="16" xfId="0" applyFont="1" applyFill="1" applyBorder="1" applyAlignment="1">
      <alignment horizontal="justify" wrapText="1"/>
    </xf>
    <xf numFmtId="0" fontId="9" fillId="0" borderId="1" xfId="0" applyFont="1" applyFill="1" applyBorder="1" applyAlignment="1">
      <alignment horizontal="justify" wrapText="1"/>
    </xf>
    <xf numFmtId="0" fontId="10" fillId="0" borderId="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wrapText="1"/>
    </xf>
    <xf numFmtId="0" fontId="2" fillId="0" borderId="16" xfId="0" applyFont="1" applyFill="1" applyBorder="1" applyAlignment="1">
      <alignment wrapText="1"/>
    </xf>
    <xf numFmtId="0" fontId="0" fillId="0" borderId="2" xfId="0" applyFill="1" applyBorder="1" applyAlignment="1"/>
    <xf numFmtId="0" fontId="19" fillId="0" borderId="20" xfId="0" applyFont="1" applyFill="1" applyBorder="1" applyAlignment="1">
      <alignment wrapText="1"/>
    </xf>
    <xf numFmtId="0" fontId="9" fillId="0" borderId="21" xfId="0" applyFont="1" applyFill="1" applyBorder="1" applyAlignment="1">
      <alignment wrapText="1"/>
    </xf>
    <xf numFmtId="0" fontId="9" fillId="0" borderId="27" xfId="0" applyFont="1" applyFill="1" applyBorder="1" applyAlignment="1">
      <alignment wrapText="1"/>
    </xf>
    <xf numFmtId="0" fontId="3" fillId="0" borderId="10" xfId="0" applyFont="1" applyFill="1" applyBorder="1" applyAlignment="1"/>
    <xf numFmtId="0" fontId="2" fillId="0" borderId="3" xfId="0" applyFont="1" applyFill="1" applyBorder="1" applyAlignment="1">
      <alignment horizontal="justify" wrapText="1"/>
    </xf>
    <xf numFmtId="0" fontId="2" fillId="0" borderId="16" xfId="0" applyFont="1" applyFill="1" applyBorder="1" applyAlignment="1">
      <alignment horizontal="justify" wrapText="1"/>
    </xf>
    <xf numFmtId="0" fontId="2" fillId="0" borderId="1" xfId="0" applyFont="1" applyFill="1" applyBorder="1" applyAlignment="1">
      <alignment horizontal="justify" wrapText="1"/>
    </xf>
    <xf numFmtId="0" fontId="2" fillId="0" borderId="2" xfId="0" applyFont="1" applyFill="1" applyBorder="1" applyAlignment="1">
      <alignment horizontal="justify" wrapText="1"/>
    </xf>
    <xf numFmtId="0" fontId="9" fillId="0" borderId="2" xfId="0" applyFont="1" applyFill="1" applyBorder="1" applyAlignment="1">
      <alignment horizontal="justify" wrapText="1"/>
    </xf>
    <xf numFmtId="0" fontId="10" fillId="0" borderId="8" xfId="0" applyFont="1" applyFill="1" applyBorder="1" applyAlignment="1">
      <alignment horizontal="center" vertical="center" wrapText="1"/>
    </xf>
    <xf numFmtId="0" fontId="0" fillId="0" borderId="9" xfId="0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justify" vertical="top" wrapText="1"/>
    </xf>
    <xf numFmtId="0" fontId="3" fillId="0" borderId="13" xfId="0" applyFont="1" applyFill="1" applyBorder="1" applyAlignment="1"/>
    <xf numFmtId="0" fontId="3" fillId="0" borderId="3" xfId="0" applyFont="1" applyFill="1" applyBorder="1" applyAlignment="1"/>
    <xf numFmtId="0" fontId="3" fillId="0" borderId="16" xfId="0" applyFont="1" applyFill="1" applyBorder="1" applyAlignment="1"/>
    <xf numFmtId="0" fontId="3" fillId="0" borderId="1" xfId="0" applyFont="1" applyFill="1" applyBorder="1" applyAlignment="1"/>
    <xf numFmtId="0" fontId="3" fillId="0" borderId="0" xfId="0" applyFont="1" applyFill="1" applyAlignment="1"/>
    <xf numFmtId="0" fontId="3" fillId="0" borderId="0" xfId="0" applyFont="1" applyFill="1" applyAlignment="1">
      <alignment horizontal="justify"/>
    </xf>
    <xf numFmtId="0" fontId="22" fillId="0" borderId="0" xfId="0" applyFont="1" applyFill="1"/>
    <xf numFmtId="0" fontId="2" fillId="0" borderId="2" xfId="0" applyFont="1" applyFill="1" applyBorder="1" applyAlignment="1">
      <alignment horizontal="center" wrapText="1"/>
    </xf>
    <xf numFmtId="0" fontId="14" fillId="0" borderId="2" xfId="0" applyFont="1" applyFill="1" applyBorder="1" applyAlignment="1">
      <alignment wrapText="1"/>
    </xf>
    <xf numFmtId="0" fontId="4" fillId="0" borderId="2" xfId="0" applyFont="1" applyFill="1" applyBorder="1" applyAlignment="1">
      <alignment wrapText="1"/>
    </xf>
    <xf numFmtId="0" fontId="5" fillId="0" borderId="2" xfId="0" applyFont="1" applyFill="1" applyBorder="1" applyAlignment="1">
      <alignment wrapText="1"/>
    </xf>
    <xf numFmtId="0" fontId="14" fillId="0" borderId="0" xfId="0" applyFont="1" applyFill="1" applyAlignment="1">
      <alignment horizontal="center"/>
    </xf>
    <xf numFmtId="0" fontId="9" fillId="0" borderId="3" xfId="0" applyFont="1" applyFill="1" applyBorder="1" applyAlignment="1">
      <alignment horizontal="justify" wrapText="1"/>
    </xf>
    <xf numFmtId="0" fontId="11" fillId="0" borderId="0" xfId="0" applyFont="1" applyFill="1" applyBorder="1" applyAlignment="1">
      <alignment horizontal="center" wrapText="1"/>
    </xf>
    <xf numFmtId="0" fontId="9" fillId="0" borderId="16" xfId="0" applyFont="1" applyFill="1" applyBorder="1" applyAlignment="1">
      <alignment wrapText="1"/>
    </xf>
    <xf numFmtId="0" fontId="9" fillId="0" borderId="1" xfId="0" applyFont="1" applyFill="1" applyBorder="1" applyAlignment="1">
      <alignment wrapText="1"/>
    </xf>
    <xf numFmtId="0" fontId="7" fillId="0" borderId="2" xfId="0" applyFont="1" applyFill="1" applyBorder="1" applyAlignment="1">
      <alignment wrapText="1"/>
    </xf>
    <xf numFmtId="0" fontId="0" fillId="0" borderId="2" xfId="0" applyFill="1" applyBorder="1" applyAlignment="1">
      <alignment wrapText="1"/>
    </xf>
    <xf numFmtId="0" fontId="7" fillId="0" borderId="2" xfId="0" applyFont="1" applyFill="1" applyBorder="1" applyAlignment="1">
      <alignment vertical="top" wrapText="1"/>
    </xf>
    <xf numFmtId="49" fontId="3" fillId="0" borderId="3" xfId="0" applyNumberFormat="1" applyFont="1" applyFill="1" applyBorder="1" applyAlignment="1"/>
    <xf numFmtId="49" fontId="3" fillId="0" borderId="16" xfId="0" applyNumberFormat="1" applyFont="1" applyFill="1" applyBorder="1" applyAlignment="1"/>
    <xf numFmtId="49" fontId="3" fillId="0" borderId="1" xfId="0" applyNumberFormat="1" applyFont="1" applyFill="1" applyBorder="1" applyAlignment="1"/>
    <xf numFmtId="0" fontId="7" fillId="0" borderId="2" xfId="0" applyFont="1" applyFill="1" applyBorder="1" applyAlignment="1"/>
    <xf numFmtId="0" fontId="2" fillId="0" borderId="3" xfId="0" applyFont="1" applyFill="1" applyBorder="1" applyAlignment="1">
      <alignment horizontal="left" wrapText="1"/>
    </xf>
    <xf numFmtId="0" fontId="9" fillId="0" borderId="16" xfId="0" applyFont="1" applyFill="1" applyBorder="1" applyAlignment="1">
      <alignment horizontal="left" wrapText="1"/>
    </xf>
    <xf numFmtId="0" fontId="9" fillId="0" borderId="1" xfId="0" applyFont="1" applyFill="1" applyBorder="1" applyAlignment="1">
      <alignment horizontal="left" wrapText="1"/>
    </xf>
    <xf numFmtId="0" fontId="7" fillId="0" borderId="3" xfId="0" applyFont="1" applyFill="1" applyBorder="1" applyAlignment="1"/>
    <xf numFmtId="0" fontId="13" fillId="0" borderId="2" xfId="0" applyFont="1" applyFill="1" applyBorder="1" applyAlignment="1">
      <alignment wrapText="1"/>
    </xf>
    <xf numFmtId="49" fontId="3" fillId="0" borderId="3" xfId="0" applyNumberFormat="1" applyFont="1" applyFill="1" applyBorder="1" applyAlignment="1">
      <alignment horizontal="left"/>
    </xf>
    <xf numFmtId="49" fontId="3" fillId="0" borderId="16" xfId="0" applyNumberFormat="1" applyFont="1" applyFill="1" applyBorder="1" applyAlignment="1">
      <alignment horizontal="left"/>
    </xf>
    <xf numFmtId="49" fontId="3" fillId="0" borderId="1" xfId="0" applyNumberFormat="1" applyFont="1" applyFill="1" applyBorder="1" applyAlignment="1">
      <alignment horizontal="left"/>
    </xf>
    <xf numFmtId="0" fontId="7" fillId="0" borderId="13" xfId="0" applyFont="1" applyFill="1" applyBorder="1" applyAlignment="1">
      <alignment wrapText="1"/>
    </xf>
    <xf numFmtId="0" fontId="7" fillId="0" borderId="14" xfId="0" applyFont="1" applyFill="1" applyBorder="1" applyAlignment="1">
      <alignment wrapText="1"/>
    </xf>
    <xf numFmtId="0" fontId="2" fillId="0" borderId="14" xfId="0" applyFont="1" applyFill="1" applyBorder="1" applyAlignment="1"/>
    <xf numFmtId="0" fontId="2" fillId="0" borderId="15" xfId="0" applyFont="1" applyFill="1" applyBorder="1" applyAlignment="1"/>
    <xf numFmtId="0" fontId="14" fillId="0" borderId="13" xfId="0" applyFont="1" applyFill="1" applyBorder="1" applyAlignment="1">
      <alignment wrapText="1"/>
    </xf>
    <xf numFmtId="0" fontId="14" fillId="0" borderId="14" xfId="0" applyFont="1" applyFill="1" applyBorder="1" applyAlignment="1">
      <alignment wrapText="1"/>
    </xf>
    <xf numFmtId="0" fontId="14" fillId="0" borderId="15" xfId="0" applyFont="1" applyFill="1" applyBorder="1" applyAlignment="1">
      <alignment wrapText="1"/>
    </xf>
    <xf numFmtId="0" fontId="0" fillId="0" borderId="11" xfId="0" applyFill="1" applyBorder="1" applyAlignment="1">
      <alignment horizontal="justify" vertical="top" wrapText="1"/>
    </xf>
    <xf numFmtId="0" fontId="0" fillId="0" borderId="12" xfId="0" applyFill="1" applyBorder="1" applyAlignment="1">
      <alignment horizontal="justify" vertical="top" wrapText="1"/>
    </xf>
    <xf numFmtId="0" fontId="2" fillId="0" borderId="36" xfId="0" applyFont="1" applyFill="1" applyBorder="1" applyAlignment="1">
      <alignment horizontal="justify" wrapText="1"/>
    </xf>
    <xf numFmtId="0" fontId="9" fillId="0" borderId="37" xfId="0" applyFont="1" applyFill="1" applyBorder="1" applyAlignment="1">
      <alignment horizontal="justify" wrapText="1"/>
    </xf>
    <xf numFmtId="0" fontId="3" fillId="0" borderId="26" xfId="0" applyFont="1" applyFill="1" applyBorder="1" applyAlignment="1">
      <alignment horizontal="left" vertical="center" wrapText="1"/>
    </xf>
    <xf numFmtId="0" fontId="3" fillId="0" borderId="21" xfId="0" applyFont="1" applyFill="1" applyBorder="1" applyAlignment="1">
      <alignment horizontal="left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7" fillId="0" borderId="16" xfId="0" applyFont="1" applyFill="1" applyBorder="1" applyAlignment="1"/>
    <xf numFmtId="0" fontId="7" fillId="0" borderId="10" xfId="0" applyFont="1" applyFill="1" applyBorder="1" applyAlignment="1">
      <alignment horizontal="justify" wrapText="1"/>
    </xf>
    <xf numFmtId="0" fontId="9" fillId="0" borderId="24" xfId="0" applyFont="1" applyFill="1" applyBorder="1" applyAlignment="1">
      <alignment horizontal="justify" wrapText="1"/>
    </xf>
    <xf numFmtId="0" fontId="9" fillId="0" borderId="4" xfId="0" applyFont="1" applyFill="1" applyBorder="1" applyAlignment="1">
      <alignment horizontal="justify" wrapText="1"/>
    </xf>
    <xf numFmtId="0" fontId="3" fillId="0" borderId="10" xfId="0" applyFont="1" applyFill="1" applyBorder="1" applyAlignment="1">
      <alignment horizontal="justify" vertical="top" wrapText="1"/>
    </xf>
    <xf numFmtId="0" fontId="1" fillId="0" borderId="24" xfId="0" applyFont="1" applyFill="1" applyBorder="1" applyAlignment="1">
      <alignment horizontal="justify" vertical="top" wrapText="1"/>
    </xf>
    <xf numFmtId="0" fontId="1" fillId="0" borderId="4" xfId="0" applyFont="1" applyFill="1" applyBorder="1" applyAlignment="1">
      <alignment horizontal="justify" vertical="top" wrapText="1"/>
    </xf>
    <xf numFmtId="0" fontId="0" fillId="0" borderId="3" xfId="0" applyFill="1" applyBorder="1" applyAlignment="1">
      <alignment horizontal="justify" vertical="top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 wrapText="1"/>
    </xf>
    <xf numFmtId="0" fontId="10" fillId="0" borderId="9" xfId="0" applyFont="1" applyFill="1" applyBorder="1" applyAlignment="1">
      <alignment horizontal="center" vertical="center" wrapText="1"/>
    </xf>
    <xf numFmtId="0" fontId="23" fillId="0" borderId="2" xfId="0" applyFont="1" applyFill="1" applyBorder="1" applyAlignment="1">
      <alignment wrapText="1"/>
    </xf>
    <xf numFmtId="0" fontId="2" fillId="0" borderId="13" xfId="0" applyFont="1" applyFill="1" applyBorder="1" applyAlignment="1">
      <alignment horizontal="center"/>
    </xf>
    <xf numFmtId="0" fontId="2" fillId="0" borderId="14" xfId="0" applyFont="1" applyFill="1" applyBorder="1" applyAlignment="1">
      <alignment horizontal="center"/>
    </xf>
    <xf numFmtId="0" fontId="2" fillId="0" borderId="15" xfId="0" applyFont="1" applyFill="1" applyBorder="1" applyAlignment="1">
      <alignment horizontal="center"/>
    </xf>
    <xf numFmtId="0" fontId="2" fillId="0" borderId="23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2" fillId="0" borderId="28" xfId="0" applyFont="1" applyFill="1" applyBorder="1" applyAlignment="1">
      <alignment horizontal="center"/>
    </xf>
    <xf numFmtId="0" fontId="2" fillId="0" borderId="19" xfId="0" applyFont="1" applyFill="1" applyBorder="1" applyAlignment="1">
      <alignment horizontal="center"/>
    </xf>
    <xf numFmtId="0" fontId="2" fillId="0" borderId="29" xfId="0" applyFont="1" applyFill="1" applyBorder="1" applyAlignment="1">
      <alignment horizontal="center"/>
    </xf>
    <xf numFmtId="0" fontId="2" fillId="0" borderId="30" xfId="0" applyFont="1" applyFill="1" applyBorder="1" applyAlignment="1">
      <alignment horizontal="center"/>
    </xf>
    <xf numFmtId="0" fontId="2" fillId="0" borderId="16" xfId="0" applyFont="1" applyFill="1" applyBorder="1" applyAlignment="1">
      <alignment horizontal="left" wrapText="1"/>
    </xf>
    <xf numFmtId="0" fontId="2" fillId="0" borderId="1" xfId="0" applyFont="1" applyFill="1" applyBorder="1" applyAlignment="1">
      <alignment horizontal="left" wrapText="1"/>
    </xf>
    <xf numFmtId="0" fontId="10" fillId="0" borderId="39" xfId="0" applyFont="1" applyFill="1" applyBorder="1" applyAlignment="1">
      <alignment horizontal="center" vertical="center" wrapText="1"/>
    </xf>
    <xf numFmtId="0" fontId="0" fillId="0" borderId="40" xfId="0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/>
    </xf>
    <xf numFmtId="0" fontId="3" fillId="0" borderId="14" xfId="0" applyFont="1" applyFill="1" applyBorder="1" applyAlignment="1">
      <alignment horizontal="center"/>
    </xf>
    <xf numFmtId="0" fontId="3" fillId="0" borderId="15" xfId="0" applyFont="1" applyFill="1" applyBorder="1" applyAlignment="1">
      <alignment horizontal="center"/>
    </xf>
    <xf numFmtId="0" fontId="3" fillId="0" borderId="23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28" xfId="0" applyFont="1" applyFill="1" applyBorder="1" applyAlignment="1">
      <alignment horizontal="center"/>
    </xf>
    <xf numFmtId="0" fontId="3" fillId="0" borderId="19" xfId="0" applyFont="1" applyFill="1" applyBorder="1" applyAlignment="1">
      <alignment horizontal="center"/>
    </xf>
    <xf numFmtId="0" fontId="3" fillId="0" borderId="29" xfId="0" applyFont="1" applyFill="1" applyBorder="1" applyAlignment="1">
      <alignment horizontal="center"/>
    </xf>
    <xf numFmtId="0" fontId="3" fillId="0" borderId="30" xfId="0" applyFont="1" applyFill="1" applyBorder="1" applyAlignment="1">
      <alignment horizontal="center"/>
    </xf>
    <xf numFmtId="0" fontId="7" fillId="0" borderId="2" xfId="0" applyFont="1" applyFill="1" applyBorder="1" applyAlignment="1">
      <alignment horizontal="justify" wrapText="1"/>
    </xf>
    <xf numFmtId="0" fontId="25" fillId="0" borderId="2" xfId="0" applyFont="1" applyFill="1" applyBorder="1" applyAlignment="1">
      <alignment vertical="top" wrapText="1"/>
    </xf>
    <xf numFmtId="0" fontId="27" fillId="0" borderId="2" xfId="0" applyFont="1" applyFill="1" applyBorder="1" applyAlignment="1">
      <alignment vertical="top" wrapText="1"/>
    </xf>
    <xf numFmtId="0" fontId="9" fillId="0" borderId="2" xfId="0" applyFont="1" applyFill="1" applyBorder="1" applyAlignment="1">
      <alignment vertical="top" wrapText="1"/>
    </xf>
    <xf numFmtId="0" fontId="0" fillId="0" borderId="16" xfId="0" applyFill="1" applyBorder="1" applyAlignment="1">
      <alignment horizontal="justify" wrapText="1"/>
    </xf>
    <xf numFmtId="0" fontId="0" fillId="0" borderId="1" xfId="0" applyFill="1" applyBorder="1" applyAlignment="1">
      <alignment horizontal="justify" wrapText="1"/>
    </xf>
    <xf numFmtId="0" fontId="7" fillId="0" borderId="31" xfId="0" applyFont="1" applyFill="1" applyBorder="1" applyAlignment="1">
      <alignment horizontal="left" wrapText="1"/>
    </xf>
    <xf numFmtId="0" fontId="0" fillId="0" borderId="24" xfId="0" applyFill="1" applyBorder="1" applyAlignment="1">
      <alignment horizontal="left" wrapText="1"/>
    </xf>
    <xf numFmtId="0" fontId="0" fillId="0" borderId="4" xfId="0" applyFill="1" applyBorder="1" applyAlignment="1">
      <alignment horizontal="left" wrapText="1"/>
    </xf>
    <xf numFmtId="0" fontId="19" fillId="0" borderId="26" xfId="0" applyFont="1" applyFill="1" applyBorder="1" applyAlignment="1">
      <alignment wrapText="1"/>
    </xf>
    <xf numFmtId="0" fontId="19" fillId="0" borderId="21" xfId="0" applyFont="1" applyFill="1" applyBorder="1" applyAlignment="1">
      <alignment wrapText="1"/>
    </xf>
    <xf numFmtId="0" fontId="14" fillId="0" borderId="41" xfId="0" applyFont="1" applyFill="1" applyBorder="1" applyAlignment="1">
      <alignment horizontal="justify" vertical="top" wrapText="1"/>
    </xf>
    <xf numFmtId="0" fontId="28" fillId="0" borderId="42" xfId="0" applyFont="1" applyFill="1" applyBorder="1" applyAlignment="1">
      <alignment horizontal="justify" vertical="top" wrapText="1"/>
    </xf>
    <xf numFmtId="0" fontId="2" fillId="0" borderId="23" xfId="0" applyFont="1" applyFill="1" applyBorder="1" applyAlignment="1" applyProtection="1">
      <alignment vertical="center" wrapText="1"/>
      <protection locked="0"/>
    </xf>
    <xf numFmtId="0" fontId="2" fillId="0" borderId="0" xfId="0" applyFont="1" applyFill="1" applyBorder="1" applyAlignment="1" applyProtection="1">
      <alignment vertical="center" wrapText="1"/>
      <protection locked="0"/>
    </xf>
    <xf numFmtId="0" fontId="2" fillId="0" borderId="28" xfId="0" applyFont="1" applyFill="1" applyBorder="1" applyAlignment="1" applyProtection="1">
      <alignment vertical="center" wrapText="1"/>
      <protection locked="0"/>
    </xf>
    <xf numFmtId="0" fontId="14" fillId="0" borderId="34" xfId="0" applyFont="1" applyFill="1" applyBorder="1" applyAlignment="1">
      <alignment horizontal="left" wrapText="1"/>
    </xf>
    <xf numFmtId="0" fontId="14" fillId="0" borderId="11" xfId="0" applyFont="1" applyFill="1" applyBorder="1" applyAlignment="1">
      <alignment horizontal="left" wrapText="1"/>
    </xf>
    <xf numFmtId="49" fontId="10" fillId="0" borderId="2" xfId="0" applyNumberFormat="1" applyFont="1" applyFill="1" applyBorder="1" applyAlignment="1">
      <alignment horizontal="justify" wrapText="1"/>
    </xf>
    <xf numFmtId="49" fontId="0" fillId="0" borderId="2" xfId="0" applyNumberFormat="1" applyFill="1" applyBorder="1" applyAlignment="1"/>
    <xf numFmtId="0" fontId="19" fillId="0" borderId="2" xfId="0" applyFont="1" applyFill="1" applyBorder="1" applyAlignment="1">
      <alignment wrapText="1"/>
    </xf>
    <xf numFmtId="0" fontId="22" fillId="0" borderId="2" xfId="0" applyFont="1" applyFill="1" applyBorder="1" applyAlignment="1">
      <alignment vertical="top" wrapText="1"/>
    </xf>
    <xf numFmtId="0" fontId="17" fillId="0" borderId="10" xfId="0" applyFont="1" applyFill="1" applyBorder="1" applyAlignment="1">
      <alignment wrapText="1"/>
    </xf>
    <xf numFmtId="0" fontId="9" fillId="0" borderId="24" xfId="0" applyFont="1" applyFill="1" applyBorder="1" applyAlignment="1">
      <alignment wrapText="1"/>
    </xf>
    <xf numFmtId="0" fontId="9" fillId="0" borderId="4" xfId="0" applyFont="1" applyFill="1" applyBorder="1" applyAlignment="1">
      <alignment wrapText="1"/>
    </xf>
    <xf numFmtId="0" fontId="10" fillId="0" borderId="3" xfId="0" applyFont="1" applyFill="1" applyBorder="1" applyAlignment="1">
      <alignment horizontal="justify" wrapText="1"/>
    </xf>
    <xf numFmtId="0" fontId="0" fillId="0" borderId="16" xfId="0" applyFill="1" applyBorder="1" applyAlignment="1"/>
    <xf numFmtId="0" fontId="10" fillId="0" borderId="10" xfId="0" applyFont="1" applyFill="1" applyBorder="1" applyAlignment="1">
      <alignment horizontal="justify" wrapText="1"/>
    </xf>
    <xf numFmtId="0" fontId="0" fillId="0" borderId="10" xfId="0" applyFill="1" applyBorder="1" applyAlignment="1"/>
    <xf numFmtId="0" fontId="19" fillId="0" borderId="2" xfId="0" applyFont="1" applyFill="1" applyBorder="1" applyAlignment="1">
      <alignment horizontal="justify" wrapText="1"/>
    </xf>
    <xf numFmtId="0" fontId="10" fillId="0" borderId="19" xfId="0" applyFont="1" applyFill="1" applyBorder="1" applyAlignment="1">
      <alignment horizontal="justify" wrapText="1"/>
    </xf>
    <xf numFmtId="0" fontId="0" fillId="0" borderId="13" xfId="0" applyFill="1" applyBorder="1" applyAlignment="1"/>
    <xf numFmtId="0" fontId="7" fillId="0" borderId="41" xfId="0" applyFont="1" applyFill="1" applyBorder="1" applyAlignment="1">
      <alignment horizontal="justify" vertical="top" wrapText="1"/>
    </xf>
    <xf numFmtId="0" fontId="9" fillId="0" borderId="42" xfId="0" applyFont="1" applyFill="1" applyBorder="1" applyAlignment="1">
      <alignment horizontal="justify" vertical="top" wrapText="1"/>
    </xf>
    <xf numFmtId="0" fontId="9" fillId="0" borderId="11" xfId="0" applyFont="1" applyFill="1" applyBorder="1" applyAlignment="1">
      <alignment wrapText="1"/>
    </xf>
    <xf numFmtId="0" fontId="9" fillId="0" borderId="12" xfId="0" applyFont="1" applyFill="1" applyBorder="1" applyAlignment="1">
      <alignment wrapText="1"/>
    </xf>
    <xf numFmtId="0" fontId="19" fillId="0" borderId="2" xfId="0" applyFont="1" applyFill="1" applyBorder="1" applyAlignment="1">
      <alignment horizontal="justify" vertical="top" wrapText="1"/>
    </xf>
    <xf numFmtId="0" fontId="7" fillId="0" borderId="35" xfId="0" applyFont="1" applyFill="1" applyBorder="1" applyAlignment="1">
      <alignment wrapText="1"/>
    </xf>
    <xf numFmtId="0" fontId="9" fillId="0" borderId="0" xfId="0" applyFont="1" applyFill="1" applyBorder="1" applyAlignment="1">
      <alignment wrapText="1"/>
    </xf>
    <xf numFmtId="0" fontId="9" fillId="0" borderId="29" xfId="0" applyFont="1" applyFill="1" applyBorder="1" applyAlignment="1">
      <alignment wrapText="1"/>
    </xf>
    <xf numFmtId="0" fontId="9" fillId="0" borderId="30" xfId="0" applyFont="1" applyFill="1" applyBorder="1" applyAlignment="1">
      <alignment wrapText="1"/>
    </xf>
    <xf numFmtId="0" fontId="0" fillId="0" borderId="24" xfId="0" applyFill="1" applyBorder="1" applyAlignment="1">
      <alignment horizontal="justify" wrapText="1"/>
    </xf>
    <xf numFmtId="0" fontId="0" fillId="0" borderId="4" xfId="0" applyFill="1" applyBorder="1" applyAlignment="1">
      <alignment horizontal="justify" wrapText="1"/>
    </xf>
    <xf numFmtId="49" fontId="10" fillId="0" borderId="3" xfId="0" applyNumberFormat="1" applyFont="1" applyFill="1" applyBorder="1" applyAlignment="1">
      <alignment horizontal="justify" wrapText="1"/>
    </xf>
    <xf numFmtId="49" fontId="0" fillId="0" borderId="16" xfId="0" applyNumberFormat="1" applyFill="1" applyBorder="1" applyAlignment="1"/>
    <xf numFmtId="49" fontId="0" fillId="0" borderId="1" xfId="0" applyNumberFormat="1" applyFill="1" applyBorder="1" applyAlignment="1"/>
    <xf numFmtId="0" fontId="2" fillId="0" borderId="2" xfId="0" applyFont="1" applyFill="1" applyBorder="1" applyAlignment="1">
      <alignment vertical="top" wrapText="1"/>
    </xf>
    <xf numFmtId="0" fontId="9" fillId="0" borderId="25" xfId="0" applyFont="1" applyFill="1" applyBorder="1" applyAlignment="1">
      <alignment wrapText="1"/>
    </xf>
    <xf numFmtId="0" fontId="22" fillId="0" borderId="2" xfId="0" applyFont="1" applyFill="1" applyBorder="1" applyAlignment="1">
      <alignment horizontal="center" vertical="center" wrapText="1"/>
    </xf>
    <xf numFmtId="0" fontId="22" fillId="0" borderId="3" xfId="0" applyFont="1" applyFill="1" applyBorder="1" applyAlignment="1">
      <alignment horizontal="center" vertical="center" wrapText="1"/>
    </xf>
    <xf numFmtId="0" fontId="2" fillId="0" borderId="26" xfId="0" applyFont="1" applyFill="1" applyBorder="1" applyAlignment="1">
      <alignment wrapText="1"/>
    </xf>
    <xf numFmtId="0" fontId="2" fillId="0" borderId="21" xfId="0" applyFont="1" applyFill="1" applyBorder="1" applyAlignment="1">
      <alignment wrapText="1"/>
    </xf>
    <xf numFmtId="0" fontId="2" fillId="0" borderId="27" xfId="0" applyFont="1" applyFill="1" applyBorder="1" applyAlignment="1">
      <alignment wrapText="1"/>
    </xf>
    <xf numFmtId="0" fontId="3" fillId="0" borderId="2" xfId="0" applyFont="1" applyFill="1" applyBorder="1" applyAlignment="1"/>
    <xf numFmtId="0" fontId="7" fillId="0" borderId="10" xfId="0" applyFont="1" applyFill="1" applyBorder="1" applyAlignment="1">
      <alignment horizontal="justify" vertical="top" wrapText="1"/>
    </xf>
    <xf numFmtId="0" fontId="0" fillId="0" borderId="24" xfId="0" applyFill="1" applyBorder="1" applyAlignment="1">
      <alignment horizontal="justify" vertical="top" wrapText="1"/>
    </xf>
    <xf numFmtId="0" fontId="0" fillId="0" borderId="4" xfId="0" applyFill="1" applyBorder="1" applyAlignment="1">
      <alignment horizontal="justify" vertical="top" wrapText="1"/>
    </xf>
    <xf numFmtId="0" fontId="24" fillId="0" borderId="13" xfId="0" applyFont="1" applyFill="1" applyBorder="1" applyAlignment="1">
      <alignment horizontal="center" vertical="center" wrapText="1"/>
    </xf>
    <xf numFmtId="0" fontId="24" fillId="0" borderId="14" xfId="0" applyFont="1" applyFill="1" applyBorder="1" applyAlignment="1">
      <alignment horizontal="center" vertical="center" wrapText="1"/>
    </xf>
    <xf numFmtId="0" fontId="24" fillId="0" borderId="15" xfId="0" applyFont="1" applyFill="1" applyBorder="1" applyAlignment="1">
      <alignment horizontal="center" vertical="center" wrapText="1"/>
    </xf>
    <xf numFmtId="0" fontId="24" fillId="0" borderId="23" xfId="0" applyFont="1" applyFill="1" applyBorder="1" applyAlignment="1">
      <alignment horizontal="center" vertical="center" wrapText="1"/>
    </xf>
    <xf numFmtId="0" fontId="24" fillId="0" borderId="0" xfId="0" applyFont="1" applyFill="1" applyBorder="1" applyAlignment="1">
      <alignment horizontal="center" vertical="center" wrapText="1"/>
    </xf>
    <xf numFmtId="0" fontId="24" fillId="0" borderId="28" xfId="0" applyFont="1" applyFill="1" applyBorder="1" applyAlignment="1">
      <alignment horizontal="center" vertical="center" wrapText="1"/>
    </xf>
    <xf numFmtId="0" fontId="24" fillId="0" borderId="19" xfId="0" applyFont="1" applyFill="1" applyBorder="1" applyAlignment="1">
      <alignment horizontal="center" vertical="center" wrapText="1"/>
    </xf>
    <xf numFmtId="0" fontId="24" fillId="0" borderId="29" xfId="0" applyFont="1" applyFill="1" applyBorder="1" applyAlignment="1">
      <alignment horizontal="center" vertical="center" wrapText="1"/>
    </xf>
    <xf numFmtId="0" fontId="24" fillId="0" borderId="30" xfId="0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vertical="top" wrapText="1"/>
    </xf>
    <xf numFmtId="0" fontId="10" fillId="0" borderId="33" xfId="0" applyFont="1" applyFill="1" applyBorder="1" applyAlignment="1">
      <alignment horizontal="justify" wrapText="1"/>
    </xf>
    <xf numFmtId="0" fontId="0" fillId="0" borderId="32" xfId="0" applyFill="1" applyBorder="1" applyAlignment="1">
      <alignment horizontal="justify" wrapText="1"/>
    </xf>
    <xf numFmtId="0" fontId="0" fillId="0" borderId="25" xfId="0" applyFill="1" applyBorder="1" applyAlignment="1">
      <alignment horizontal="justify" wrapText="1"/>
    </xf>
    <xf numFmtId="0" fontId="14" fillId="0" borderId="3" xfId="0" applyFont="1" applyFill="1" applyBorder="1" applyAlignment="1">
      <alignment vertical="top" wrapText="1"/>
    </xf>
    <xf numFmtId="0" fontId="22" fillId="0" borderId="3" xfId="0" applyFont="1" applyFill="1" applyBorder="1" applyAlignment="1">
      <alignment vertical="top" wrapText="1"/>
    </xf>
    <xf numFmtId="0" fontId="10" fillId="0" borderId="36" xfId="0" applyFont="1" applyFill="1" applyBorder="1" applyAlignment="1">
      <alignment horizontal="justify" wrapText="1"/>
    </xf>
    <xf numFmtId="0" fontId="0" fillId="0" borderId="37" xfId="0" applyFill="1" applyBorder="1" applyAlignment="1">
      <alignment horizontal="justify" wrapText="1"/>
    </xf>
    <xf numFmtId="0" fontId="0" fillId="0" borderId="38" xfId="0" applyFill="1" applyBorder="1" applyAlignment="1">
      <alignment horizontal="justify" wrapText="1"/>
    </xf>
    <xf numFmtId="0" fontId="2" fillId="0" borderId="26" xfId="0" applyFont="1" applyFill="1" applyBorder="1" applyAlignment="1">
      <alignment horizontal="justify" wrapText="1"/>
    </xf>
    <xf numFmtId="0" fontId="9" fillId="0" borderId="21" xfId="0" applyFont="1" applyFill="1" applyBorder="1" applyAlignment="1">
      <alignment horizontal="justify" wrapText="1"/>
    </xf>
    <xf numFmtId="0" fontId="2" fillId="0" borderId="2" xfId="0" applyFont="1" applyFill="1" applyBorder="1" applyAlignment="1">
      <alignment vertical="center" wrapText="1"/>
    </xf>
    <xf numFmtId="0" fontId="9" fillId="0" borderId="2" xfId="0" applyFont="1" applyFill="1" applyBorder="1" applyAlignment="1">
      <alignment vertical="center" wrapText="1"/>
    </xf>
    <xf numFmtId="49" fontId="10" fillId="0" borderId="19" xfId="0" applyNumberFormat="1" applyFont="1" applyFill="1" applyBorder="1" applyAlignment="1">
      <alignment horizontal="justify" wrapText="1"/>
    </xf>
    <xf numFmtId="0" fontId="0" fillId="0" borderId="3" xfId="0" applyFill="1" applyBorder="1" applyAlignment="1">
      <alignment wrapText="1"/>
    </xf>
    <xf numFmtId="0" fontId="25" fillId="0" borderId="10" xfId="0" applyFont="1" applyFill="1" applyBorder="1" applyAlignment="1">
      <alignment horizontal="left" vertical="top" wrapText="1"/>
    </xf>
    <xf numFmtId="0" fontId="25" fillId="0" borderId="24" xfId="0" applyFont="1" applyFill="1" applyBorder="1" applyAlignment="1">
      <alignment horizontal="left" vertical="top" wrapText="1"/>
    </xf>
    <xf numFmtId="0" fontId="25" fillId="0" borderId="4" xfId="0" applyFont="1" applyFill="1" applyBorder="1" applyAlignment="1">
      <alignment horizontal="left" vertical="top" wrapText="1"/>
    </xf>
    <xf numFmtId="0" fontId="19" fillId="0" borderId="3" xfId="0" applyFont="1" applyFill="1" applyBorder="1" applyAlignment="1">
      <alignment horizontal="left" wrapText="1"/>
    </xf>
    <xf numFmtId="0" fontId="19" fillId="0" borderId="16" xfId="0" applyFont="1" applyFill="1" applyBorder="1" applyAlignment="1">
      <alignment horizontal="left" wrapText="1"/>
    </xf>
    <xf numFmtId="0" fontId="19" fillId="0" borderId="1" xfId="0" applyFont="1" applyFill="1" applyBorder="1" applyAlignment="1">
      <alignment horizontal="left" wrapText="1"/>
    </xf>
    <xf numFmtId="0" fontId="7" fillId="0" borderId="3" xfId="0" applyFont="1" applyFill="1" applyBorder="1" applyAlignment="1">
      <alignment wrapText="1"/>
    </xf>
    <xf numFmtId="0" fontId="3" fillId="0" borderId="0" xfId="0" applyFont="1" applyFill="1" applyBorder="1" applyAlignment="1">
      <alignment horizontal="justify" vertical="top" wrapText="1"/>
    </xf>
    <xf numFmtId="0" fontId="8" fillId="0" borderId="0" xfId="0" applyFont="1" applyFill="1" applyBorder="1" applyAlignment="1">
      <alignment horizontal="justify" vertical="top" wrapText="1"/>
    </xf>
    <xf numFmtId="0" fontId="7" fillId="0" borderId="33" xfId="0" applyFont="1" applyFill="1" applyBorder="1" applyAlignment="1">
      <alignment horizontal="justify" vertical="top" wrapText="1"/>
    </xf>
    <xf numFmtId="0" fontId="22" fillId="0" borderId="7" xfId="0" applyFont="1" applyFill="1" applyBorder="1" applyAlignment="1">
      <alignment horizontal="justify" vertical="top" wrapText="1"/>
    </xf>
    <xf numFmtId="0" fontId="22" fillId="0" borderId="8" xfId="0" applyFont="1" applyFill="1" applyBorder="1" applyAlignment="1">
      <alignment horizontal="justify" vertical="top" wrapText="1"/>
    </xf>
    <xf numFmtId="0" fontId="14" fillId="0" borderId="10" xfId="0" applyFont="1" applyFill="1" applyBorder="1" applyAlignment="1">
      <alignment horizontal="justify" wrapText="1"/>
    </xf>
    <xf numFmtId="0" fontId="10" fillId="0" borderId="16" xfId="0" applyFont="1" applyFill="1" applyBorder="1" applyAlignment="1">
      <alignment horizontal="justify" wrapText="1"/>
    </xf>
    <xf numFmtId="0" fontId="0" fillId="0" borderId="17" xfId="0" applyFill="1" applyBorder="1" applyAlignment="1"/>
    <xf numFmtId="0" fontId="3" fillId="0" borderId="3" xfId="0" applyFont="1" applyFill="1" applyBorder="1" applyAlignment="1">
      <alignment horizontal="center" vertical="center" wrapText="1" shrinkToFit="1"/>
    </xf>
    <xf numFmtId="0" fontId="3" fillId="0" borderId="16" xfId="0" applyFont="1" applyFill="1" applyBorder="1" applyAlignment="1">
      <alignment horizontal="center" vertical="center" wrapText="1" shrinkToFit="1"/>
    </xf>
    <xf numFmtId="0" fontId="3" fillId="0" borderId="1" xfId="0" applyFont="1" applyFill="1" applyBorder="1" applyAlignment="1">
      <alignment horizontal="center" vertical="center" wrapText="1" shrinkToFit="1"/>
    </xf>
    <xf numFmtId="4" fontId="3" fillId="0" borderId="2" xfId="0" applyNumberFormat="1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wrapText="1"/>
    </xf>
    <xf numFmtId="0" fontId="0" fillId="0" borderId="24" xfId="0" applyFill="1" applyBorder="1" applyAlignment="1">
      <alignment wrapText="1"/>
    </xf>
    <xf numFmtId="0" fontId="0" fillId="0" borderId="4" xfId="0" applyFill="1" applyBorder="1" applyAlignment="1">
      <alignment wrapText="1"/>
    </xf>
    <xf numFmtId="49" fontId="3" fillId="0" borderId="3" xfId="0" applyNumberFormat="1" applyFont="1" applyFill="1" applyBorder="1" applyAlignment="1">
      <alignment horizontal="justify" wrapText="1"/>
    </xf>
    <xf numFmtId="49" fontId="22" fillId="0" borderId="16" xfId="0" applyNumberFormat="1" applyFont="1" applyFill="1" applyBorder="1" applyAlignment="1"/>
    <xf numFmtId="49" fontId="22" fillId="0" borderId="17" xfId="0" applyNumberFormat="1" applyFont="1" applyFill="1" applyBorder="1" applyAlignment="1"/>
    <xf numFmtId="0" fontId="14" fillId="0" borderId="32" xfId="0" applyFont="1" applyFill="1" applyBorder="1" applyAlignment="1">
      <alignment wrapText="1"/>
    </xf>
    <xf numFmtId="0" fontId="22" fillId="0" borderId="0" xfId="0" applyFont="1" applyFill="1" applyBorder="1" applyAlignment="1">
      <alignment wrapText="1"/>
    </xf>
    <xf numFmtId="0" fontId="9" fillId="0" borderId="2" xfId="0" applyFont="1" applyFill="1" applyBorder="1" applyAlignment="1"/>
    <xf numFmtId="49" fontId="3" fillId="0" borderId="3" xfId="0" applyNumberFormat="1" applyFont="1" applyFill="1" applyBorder="1" applyAlignment="1">
      <alignment horizontal="center" wrapText="1"/>
    </xf>
    <xf numFmtId="49" fontId="3" fillId="0" borderId="16" xfId="0" applyNumberFormat="1" applyFont="1" applyFill="1" applyBorder="1" applyAlignment="1">
      <alignment horizontal="center" wrapText="1"/>
    </xf>
    <xf numFmtId="49" fontId="3" fillId="0" borderId="1" xfId="0" applyNumberFormat="1" applyFont="1" applyFill="1" applyBorder="1" applyAlignment="1">
      <alignment horizontal="center" wrapText="1"/>
    </xf>
    <xf numFmtId="49" fontId="3" fillId="0" borderId="2" xfId="0" applyNumberFormat="1" applyFont="1" applyFill="1" applyBorder="1" applyAlignment="1">
      <alignment horizontal="justify" vertical="top" wrapText="1"/>
    </xf>
    <xf numFmtId="49" fontId="1" fillId="0" borderId="2" xfId="0" applyNumberFormat="1" applyFont="1" applyFill="1" applyBorder="1" applyAlignment="1"/>
    <xf numFmtId="49" fontId="1" fillId="0" borderId="3" xfId="0" applyNumberFormat="1" applyFont="1" applyFill="1" applyBorder="1" applyAlignment="1"/>
    <xf numFmtId="0" fontId="3" fillId="0" borderId="10" xfId="0" applyFont="1" applyFill="1" applyBorder="1" applyAlignment="1">
      <alignment horizontal="justify" wrapText="1"/>
    </xf>
    <xf numFmtId="0" fontId="1" fillId="0" borderId="10" xfId="0" applyFont="1" applyFill="1" applyBorder="1" applyAlignment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694"/>
  <sheetViews>
    <sheetView tabSelected="1" view="pageBreakPreview" topLeftCell="A675" zoomScaleNormal="100" zoomScaleSheetLayoutView="100" workbookViewId="0">
      <selection activeCell="H683" sqref="H683"/>
    </sheetView>
  </sheetViews>
  <sheetFormatPr defaultRowHeight="12.75" x14ac:dyDescent="0.2"/>
  <cols>
    <col min="1" max="1" width="6.28515625" style="4" customWidth="1"/>
    <col min="2" max="2" width="28" style="4" customWidth="1"/>
    <col min="3" max="3" width="11.140625" style="4" customWidth="1"/>
    <col min="4" max="4" width="15" style="4" customWidth="1"/>
    <col min="5" max="5" width="8.5703125" style="4" customWidth="1"/>
    <col min="6" max="6" width="11.7109375" style="4" customWidth="1"/>
    <col min="7" max="7" width="11.140625" style="4" customWidth="1"/>
    <col min="8" max="8" width="11.5703125" style="4" customWidth="1"/>
    <col min="9" max="9" width="13" style="4" customWidth="1"/>
    <col min="10" max="10" width="14.42578125" style="4" customWidth="1"/>
    <col min="11" max="11" width="29.7109375" style="4" customWidth="1"/>
    <col min="12" max="12" width="10.140625" style="4" bestFit="1" customWidth="1"/>
    <col min="13" max="16384" width="9.140625" style="4"/>
  </cols>
  <sheetData>
    <row r="1" spans="1:26" ht="19.5" customHeight="1" x14ac:dyDescent="0.2">
      <c r="H1" s="231" t="s">
        <v>245</v>
      </c>
      <c r="I1" s="231"/>
      <c r="J1" s="231"/>
      <c r="K1" s="231"/>
    </row>
    <row r="2" spans="1:26" ht="24" customHeight="1" x14ac:dyDescent="0.2">
      <c r="H2" s="232" t="s">
        <v>246</v>
      </c>
      <c r="I2" s="233"/>
      <c r="J2" s="233"/>
      <c r="K2" s="233"/>
    </row>
    <row r="3" spans="1:26" ht="15.75" customHeight="1" x14ac:dyDescent="0.2">
      <c r="C3" s="146"/>
      <c r="F3" s="146"/>
      <c r="G3" s="146"/>
      <c r="H3" s="146"/>
    </row>
    <row r="4" spans="1:26" ht="15.75" x14ac:dyDescent="0.25">
      <c r="C4" s="29"/>
    </row>
    <row r="5" spans="1:26" ht="12.75" customHeight="1" x14ac:dyDescent="0.25">
      <c r="A5" s="238" t="s">
        <v>118</v>
      </c>
      <c r="B5" s="238"/>
      <c r="C5" s="238"/>
      <c r="D5" s="238"/>
      <c r="E5" s="238"/>
      <c r="F5" s="238"/>
      <c r="G5" s="238"/>
      <c r="H5" s="238"/>
      <c r="I5" s="238"/>
      <c r="J5" s="238"/>
      <c r="K5" s="238"/>
    </row>
    <row r="6" spans="1:26" ht="12.75" customHeight="1" x14ac:dyDescent="0.25">
      <c r="A6" s="238" t="s">
        <v>119</v>
      </c>
      <c r="B6" s="238"/>
      <c r="C6" s="238"/>
      <c r="D6" s="238"/>
      <c r="E6" s="238"/>
      <c r="F6" s="238"/>
      <c r="G6" s="238"/>
      <c r="H6" s="238"/>
      <c r="I6" s="238"/>
      <c r="J6" s="238"/>
      <c r="K6" s="238"/>
    </row>
    <row r="7" spans="1:26" ht="12.75" customHeight="1" x14ac:dyDescent="0.25">
      <c r="A7" s="238" t="s">
        <v>120</v>
      </c>
      <c r="B7" s="238"/>
      <c r="C7" s="238"/>
      <c r="D7" s="238"/>
      <c r="E7" s="238"/>
      <c r="F7" s="238"/>
      <c r="G7" s="238"/>
      <c r="H7" s="238"/>
      <c r="I7" s="238"/>
      <c r="J7" s="238"/>
      <c r="K7" s="238"/>
    </row>
    <row r="10" spans="1:26" ht="18" customHeight="1" x14ac:dyDescent="0.25">
      <c r="A10" s="234" t="s">
        <v>2</v>
      </c>
      <c r="B10" s="234" t="s">
        <v>3</v>
      </c>
      <c r="C10" s="234" t="s">
        <v>4</v>
      </c>
      <c r="D10" s="234" t="s">
        <v>5</v>
      </c>
      <c r="E10" s="234" t="s">
        <v>6</v>
      </c>
      <c r="F10" s="234" t="s">
        <v>7</v>
      </c>
      <c r="G10" s="234"/>
      <c r="H10" s="234"/>
      <c r="I10" s="234"/>
      <c r="J10" s="234"/>
      <c r="K10" s="234" t="s">
        <v>8</v>
      </c>
    </row>
    <row r="11" spans="1:26" ht="45" x14ac:dyDescent="0.25">
      <c r="A11" s="234"/>
      <c r="B11" s="234"/>
      <c r="C11" s="234"/>
      <c r="D11" s="234"/>
      <c r="E11" s="234"/>
      <c r="F11" s="147" t="s">
        <v>9</v>
      </c>
      <c r="G11" s="147" t="s">
        <v>10</v>
      </c>
      <c r="H11" s="147" t="s">
        <v>11</v>
      </c>
      <c r="I11" s="147" t="s">
        <v>12</v>
      </c>
      <c r="J11" s="147" t="s">
        <v>13</v>
      </c>
      <c r="K11" s="234"/>
    </row>
    <row r="12" spans="1:26" x14ac:dyDescent="0.2">
      <c r="A12" s="5">
        <v>1</v>
      </c>
      <c r="B12" s="5">
        <v>2</v>
      </c>
      <c r="C12" s="5">
        <v>3</v>
      </c>
      <c r="D12" s="5">
        <v>4</v>
      </c>
      <c r="E12" s="5">
        <v>5</v>
      </c>
      <c r="F12" s="5">
        <v>6</v>
      </c>
      <c r="G12" s="5">
        <v>7</v>
      </c>
      <c r="H12" s="5">
        <v>8</v>
      </c>
      <c r="I12" s="5">
        <v>9</v>
      </c>
      <c r="J12" s="5">
        <v>10</v>
      </c>
      <c r="K12" s="5">
        <v>11</v>
      </c>
    </row>
    <row r="13" spans="1:26" ht="23.25" customHeight="1" x14ac:dyDescent="0.35">
      <c r="A13" s="236" t="s">
        <v>14</v>
      </c>
      <c r="B13" s="237"/>
      <c r="C13" s="237"/>
      <c r="D13" s="237"/>
      <c r="E13" s="237"/>
      <c r="F13" s="237"/>
      <c r="G13" s="237"/>
      <c r="H13" s="237"/>
      <c r="I13" s="237"/>
      <c r="J13" s="237"/>
      <c r="K13" s="237"/>
      <c r="L13" s="30"/>
      <c r="M13" s="30"/>
      <c r="N13" s="30"/>
      <c r="O13" s="30"/>
      <c r="P13" s="30"/>
      <c r="Q13" s="30"/>
      <c r="R13" s="30"/>
      <c r="S13" s="30"/>
      <c r="T13" s="30"/>
      <c r="U13" s="30"/>
      <c r="V13" s="30"/>
      <c r="W13" s="30"/>
      <c r="X13" s="30"/>
      <c r="Y13" s="30"/>
      <c r="Z13" s="30"/>
    </row>
    <row r="14" spans="1:26" ht="15.75" x14ac:dyDescent="0.25">
      <c r="A14" s="235" t="s">
        <v>15</v>
      </c>
      <c r="B14" s="235"/>
      <c r="C14" s="235"/>
      <c r="D14" s="235"/>
      <c r="E14" s="235"/>
      <c r="F14" s="235"/>
      <c r="G14" s="235"/>
      <c r="H14" s="235"/>
      <c r="I14" s="235"/>
      <c r="J14" s="235"/>
      <c r="K14" s="235"/>
      <c r="L14" s="31"/>
      <c r="M14" s="31"/>
      <c r="N14" s="31"/>
      <c r="O14" s="31"/>
      <c r="P14" s="31"/>
      <c r="Q14" s="31"/>
      <c r="R14" s="31"/>
      <c r="S14" s="31"/>
      <c r="T14" s="31"/>
      <c r="U14" s="31"/>
      <c r="V14" s="31"/>
      <c r="W14" s="31"/>
      <c r="X14" s="31"/>
      <c r="Y14" s="31"/>
      <c r="Z14" s="31"/>
    </row>
    <row r="15" spans="1:26" ht="32.25" customHeight="1" thickBot="1" x14ac:dyDescent="0.25">
      <c r="A15" s="195" t="s">
        <v>236</v>
      </c>
      <c r="B15" s="182"/>
      <c r="C15" s="203"/>
      <c r="D15" s="203"/>
      <c r="E15" s="203"/>
      <c r="F15" s="203"/>
      <c r="G15" s="203"/>
      <c r="H15" s="203"/>
      <c r="I15" s="203"/>
      <c r="J15" s="203"/>
      <c r="K15" s="203"/>
      <c r="L15" s="135"/>
      <c r="M15" s="135"/>
      <c r="N15" s="135"/>
      <c r="O15" s="135"/>
      <c r="P15" s="135"/>
      <c r="Q15" s="135"/>
      <c r="R15" s="135"/>
      <c r="S15" s="135"/>
      <c r="T15" s="135"/>
      <c r="U15" s="135"/>
      <c r="V15" s="135"/>
      <c r="W15" s="135"/>
      <c r="X15" s="135"/>
      <c r="Y15" s="135"/>
      <c r="Z15" s="135"/>
    </row>
    <row r="16" spans="1:26" ht="15" x14ac:dyDescent="0.25">
      <c r="A16" s="214" t="s">
        <v>16</v>
      </c>
      <c r="B16" s="218" t="s">
        <v>17</v>
      </c>
      <c r="C16" s="220">
        <v>2015</v>
      </c>
      <c r="D16" s="223" t="s">
        <v>122</v>
      </c>
      <c r="E16" s="141">
        <v>2015</v>
      </c>
      <c r="F16" s="7">
        <f>SUM(G16:J16)</f>
        <v>123364</v>
      </c>
      <c r="G16" s="7"/>
      <c r="H16" s="7">
        <f>84472.3+21385+13129.2</f>
        <v>118986.5</v>
      </c>
      <c r="I16" s="7">
        <f>4727.6-3108.6+2758.5</f>
        <v>4377.5</v>
      </c>
      <c r="J16" s="7"/>
      <c r="K16" s="154" t="s">
        <v>116</v>
      </c>
    </row>
    <row r="17" spans="1:26" ht="15" x14ac:dyDescent="0.25">
      <c r="A17" s="214"/>
      <c r="B17" s="219"/>
      <c r="C17" s="221"/>
      <c r="D17" s="224"/>
      <c r="E17" s="141">
        <v>2016</v>
      </c>
      <c r="F17" s="7"/>
      <c r="G17" s="7"/>
      <c r="H17" s="7"/>
      <c r="I17" s="7"/>
      <c r="J17" s="7"/>
      <c r="K17" s="151"/>
    </row>
    <row r="18" spans="1:26" ht="20.25" customHeight="1" x14ac:dyDescent="0.25">
      <c r="A18" s="214"/>
      <c r="B18" s="219"/>
      <c r="C18" s="221"/>
      <c r="D18" s="224"/>
      <c r="E18" s="141">
        <v>2017</v>
      </c>
      <c r="F18" s="7"/>
      <c r="G18" s="7"/>
      <c r="H18" s="7"/>
      <c r="I18" s="7"/>
      <c r="J18" s="7"/>
      <c r="K18" s="151"/>
    </row>
    <row r="19" spans="1:26" ht="18.75" customHeight="1" x14ac:dyDescent="0.25">
      <c r="A19" s="214"/>
      <c r="B19" s="219"/>
      <c r="C19" s="221"/>
      <c r="D19" s="224"/>
      <c r="E19" s="141">
        <v>2018</v>
      </c>
      <c r="F19" s="7"/>
      <c r="G19" s="7"/>
      <c r="H19" s="7"/>
      <c r="I19" s="7"/>
      <c r="J19" s="7"/>
      <c r="K19" s="151"/>
    </row>
    <row r="20" spans="1:26" ht="15" customHeight="1" x14ac:dyDescent="0.25">
      <c r="A20" s="214"/>
      <c r="B20" s="219"/>
      <c r="C20" s="221"/>
      <c r="D20" s="224"/>
      <c r="E20" s="141">
        <v>2019</v>
      </c>
      <c r="F20" s="7"/>
      <c r="G20" s="7"/>
      <c r="H20" s="7"/>
      <c r="I20" s="7"/>
      <c r="J20" s="7"/>
      <c r="K20" s="151"/>
    </row>
    <row r="21" spans="1:26" ht="17.25" customHeight="1" x14ac:dyDescent="0.25">
      <c r="A21" s="214"/>
      <c r="B21" s="219"/>
      <c r="C21" s="221"/>
      <c r="D21" s="224"/>
      <c r="E21" s="141">
        <v>2020</v>
      </c>
      <c r="F21" s="7"/>
      <c r="G21" s="7"/>
      <c r="H21" s="7"/>
      <c r="I21" s="7"/>
      <c r="J21" s="7"/>
      <c r="K21" s="151"/>
    </row>
    <row r="22" spans="1:26" ht="12.75" customHeight="1" x14ac:dyDescent="0.2">
      <c r="A22" s="214"/>
      <c r="B22" s="239"/>
      <c r="C22" s="221"/>
      <c r="D22" s="225"/>
      <c r="E22" s="24" t="s">
        <v>18</v>
      </c>
      <c r="F22" s="8">
        <f>SUM(F16:F21)</f>
        <v>123364</v>
      </c>
      <c r="G22" s="8">
        <f>SUM(G16:G21)</f>
        <v>0</v>
      </c>
      <c r="H22" s="8">
        <f>SUM(H16:H21)</f>
        <v>118986.5</v>
      </c>
      <c r="I22" s="8">
        <f>SUM(I16:I21)</f>
        <v>4377.5</v>
      </c>
      <c r="J22" s="8"/>
      <c r="K22" s="155"/>
    </row>
    <row r="23" spans="1:26" ht="15" x14ac:dyDescent="0.25">
      <c r="A23" s="214" t="s">
        <v>19</v>
      </c>
      <c r="B23" s="218" t="s">
        <v>131</v>
      </c>
      <c r="C23" s="177">
        <v>2015</v>
      </c>
      <c r="D23" s="223" t="s">
        <v>122</v>
      </c>
      <c r="E23" s="141">
        <v>2015</v>
      </c>
      <c r="F23" s="7">
        <f>SUM(G23:I23)</f>
        <v>5858.9</v>
      </c>
      <c r="G23" s="7"/>
      <c r="H23" s="7">
        <f>104685.7-104685.7</f>
        <v>0</v>
      </c>
      <c r="I23" s="7">
        <v>5858.9</v>
      </c>
      <c r="J23" s="7"/>
      <c r="K23" s="154" t="s">
        <v>117</v>
      </c>
    </row>
    <row r="24" spans="1:26" ht="15" x14ac:dyDescent="0.25">
      <c r="A24" s="214"/>
      <c r="B24" s="219"/>
      <c r="C24" s="178"/>
      <c r="D24" s="224"/>
      <c r="E24" s="141">
        <v>2016</v>
      </c>
      <c r="F24" s="7"/>
      <c r="G24" s="7"/>
      <c r="H24" s="7"/>
      <c r="I24" s="7"/>
      <c r="J24" s="7"/>
      <c r="K24" s="151"/>
    </row>
    <row r="25" spans="1:26" ht="15" x14ac:dyDescent="0.25">
      <c r="A25" s="214"/>
      <c r="B25" s="219"/>
      <c r="C25" s="178"/>
      <c r="D25" s="224"/>
      <c r="E25" s="141">
        <v>2017</v>
      </c>
      <c r="F25" s="7"/>
      <c r="G25" s="7"/>
      <c r="H25" s="7"/>
      <c r="I25" s="7"/>
      <c r="J25" s="7"/>
      <c r="K25" s="151"/>
    </row>
    <row r="26" spans="1:26" ht="15" x14ac:dyDescent="0.25">
      <c r="A26" s="214"/>
      <c r="B26" s="219"/>
      <c r="C26" s="178"/>
      <c r="D26" s="224"/>
      <c r="E26" s="141">
        <v>2018</v>
      </c>
      <c r="F26" s="7"/>
      <c r="G26" s="7"/>
      <c r="H26" s="7"/>
      <c r="I26" s="7"/>
      <c r="J26" s="7"/>
      <c r="K26" s="151"/>
    </row>
    <row r="27" spans="1:26" ht="15" x14ac:dyDescent="0.25">
      <c r="A27" s="214"/>
      <c r="B27" s="219"/>
      <c r="C27" s="178"/>
      <c r="D27" s="224"/>
      <c r="E27" s="141">
        <v>2019</v>
      </c>
      <c r="F27" s="7"/>
      <c r="G27" s="7"/>
      <c r="H27" s="7"/>
      <c r="I27" s="7"/>
      <c r="J27" s="7"/>
      <c r="K27" s="151"/>
    </row>
    <row r="28" spans="1:26" ht="15" x14ac:dyDescent="0.25">
      <c r="A28" s="214"/>
      <c r="B28" s="219"/>
      <c r="C28" s="178"/>
      <c r="D28" s="224"/>
      <c r="E28" s="141">
        <v>2020</v>
      </c>
      <c r="F28" s="7"/>
      <c r="G28" s="7"/>
      <c r="H28" s="7"/>
      <c r="I28" s="7"/>
      <c r="J28" s="7"/>
      <c r="K28" s="151"/>
    </row>
    <row r="29" spans="1:26" ht="15" x14ac:dyDescent="0.25">
      <c r="A29" s="227"/>
      <c r="B29" s="239"/>
      <c r="C29" s="179"/>
      <c r="D29" s="225"/>
      <c r="E29" s="32" t="s">
        <v>18</v>
      </c>
      <c r="F29" s="9">
        <f>SUM(F23:F28)</f>
        <v>5858.9</v>
      </c>
      <c r="G29" s="10">
        <f>SUM(G23:G28)</f>
        <v>0</v>
      </c>
      <c r="H29" s="10">
        <f>SUM(H23:H28)</f>
        <v>0</v>
      </c>
      <c r="I29" s="10">
        <f>SUM(I23:I28)</f>
        <v>5858.9</v>
      </c>
      <c r="J29" s="10"/>
      <c r="K29" s="155"/>
    </row>
    <row r="30" spans="1:26" ht="14.25" x14ac:dyDescent="0.2">
      <c r="A30" s="243" t="s">
        <v>20</v>
      </c>
      <c r="B30" s="244"/>
      <c r="C30" s="244"/>
      <c r="D30" s="244"/>
      <c r="E30" s="133"/>
      <c r="F30" s="11">
        <f>F22+F29</f>
        <v>129222.9</v>
      </c>
      <c r="G30" s="11">
        <f>G22+G29</f>
        <v>0</v>
      </c>
      <c r="H30" s="11">
        <f>H22+H29</f>
        <v>118986.5</v>
      </c>
      <c r="I30" s="11">
        <f>I22+I29</f>
        <v>10236.4</v>
      </c>
      <c r="J30" s="11">
        <f>J22+J29</f>
        <v>0</v>
      </c>
      <c r="K30" s="133"/>
      <c r="L30" s="240"/>
      <c r="M30" s="240"/>
      <c r="N30" s="240"/>
      <c r="O30" s="240"/>
      <c r="P30" s="240"/>
      <c r="Q30" s="240"/>
      <c r="R30" s="240"/>
      <c r="S30" s="240"/>
      <c r="T30" s="240"/>
      <c r="U30" s="240"/>
      <c r="V30" s="240"/>
      <c r="W30" s="240"/>
      <c r="X30" s="240"/>
      <c r="Y30" s="240"/>
      <c r="Z30" s="240"/>
    </row>
    <row r="31" spans="1:26" ht="14.25" x14ac:dyDescent="0.2">
      <c r="A31" s="195" t="s">
        <v>237</v>
      </c>
      <c r="B31" s="203"/>
      <c r="C31" s="203"/>
      <c r="D31" s="203"/>
      <c r="E31" s="203"/>
      <c r="F31" s="203"/>
      <c r="G31" s="203"/>
      <c r="H31" s="203"/>
      <c r="I31" s="203"/>
      <c r="J31" s="203"/>
      <c r="K31" s="203"/>
      <c r="L31" s="135"/>
      <c r="M31" s="135"/>
      <c r="N31" s="135"/>
      <c r="O31" s="135"/>
      <c r="P31" s="135"/>
      <c r="Q31" s="135"/>
      <c r="R31" s="135"/>
      <c r="S31" s="135"/>
      <c r="T31" s="135"/>
      <c r="U31" s="135"/>
      <c r="V31" s="135"/>
      <c r="W31" s="135"/>
      <c r="X31" s="135"/>
      <c r="Y31" s="135"/>
      <c r="Z31" s="135"/>
    </row>
    <row r="32" spans="1:26" x14ac:dyDescent="0.2">
      <c r="A32" s="190" t="s">
        <v>60</v>
      </c>
      <c r="B32" s="216" t="s">
        <v>123</v>
      </c>
      <c r="C32" s="166" t="s">
        <v>130</v>
      </c>
      <c r="D32" s="154" t="s">
        <v>222</v>
      </c>
      <c r="E32" s="149">
        <v>2015</v>
      </c>
      <c r="F32" s="1"/>
      <c r="G32" s="1"/>
      <c r="H32" s="1"/>
      <c r="I32" s="1"/>
      <c r="J32" s="1"/>
      <c r="K32" s="406" t="s">
        <v>115</v>
      </c>
    </row>
    <row r="33" spans="1:33" x14ac:dyDescent="0.2">
      <c r="A33" s="191"/>
      <c r="B33" s="241"/>
      <c r="C33" s="167"/>
      <c r="D33" s="151"/>
      <c r="E33" s="141">
        <v>2016</v>
      </c>
      <c r="F33" s="2"/>
      <c r="G33" s="2"/>
      <c r="H33" s="2"/>
      <c r="I33" s="2"/>
      <c r="J33" s="2"/>
      <c r="K33" s="406"/>
    </row>
    <row r="34" spans="1:33" x14ac:dyDescent="0.2">
      <c r="A34" s="191"/>
      <c r="B34" s="241"/>
      <c r="C34" s="167"/>
      <c r="D34" s="151"/>
      <c r="E34" s="141">
        <v>2017</v>
      </c>
      <c r="F34" s="2"/>
      <c r="G34" s="2"/>
      <c r="H34" s="2"/>
      <c r="I34" s="2"/>
      <c r="J34" s="2"/>
      <c r="K34" s="406"/>
    </row>
    <row r="35" spans="1:33" x14ac:dyDescent="0.2">
      <c r="A35" s="191"/>
      <c r="B35" s="241"/>
      <c r="C35" s="167"/>
      <c r="D35" s="151"/>
      <c r="E35" s="141">
        <v>2018</v>
      </c>
      <c r="F35" s="2"/>
      <c r="G35" s="2"/>
      <c r="H35" s="2"/>
      <c r="I35" s="2"/>
      <c r="J35" s="2"/>
      <c r="K35" s="406"/>
    </row>
    <row r="36" spans="1:33" x14ac:dyDescent="0.2">
      <c r="A36" s="191"/>
      <c r="B36" s="241"/>
      <c r="C36" s="167"/>
      <c r="D36" s="151"/>
      <c r="E36" s="141">
        <v>2019</v>
      </c>
      <c r="F36" s="2"/>
      <c r="G36" s="2"/>
      <c r="H36" s="2"/>
      <c r="I36" s="2"/>
      <c r="J36" s="2"/>
      <c r="K36" s="406"/>
    </row>
    <row r="37" spans="1:33" x14ac:dyDescent="0.2">
      <c r="A37" s="191"/>
      <c r="B37" s="241"/>
      <c r="C37" s="167"/>
      <c r="D37" s="151"/>
      <c r="E37" s="141">
        <v>2020</v>
      </c>
      <c r="F37" s="2"/>
      <c r="G37" s="2"/>
      <c r="H37" s="2"/>
      <c r="I37" s="2"/>
      <c r="J37" s="2"/>
      <c r="K37" s="406"/>
    </row>
    <row r="38" spans="1:33" ht="60" customHeight="1" x14ac:dyDescent="0.2">
      <c r="A38" s="191"/>
      <c r="B38" s="242"/>
      <c r="C38" s="180"/>
      <c r="D38" s="155"/>
      <c r="E38" s="24" t="s">
        <v>18</v>
      </c>
      <c r="F38" s="2"/>
      <c r="G38" s="2"/>
      <c r="H38" s="2"/>
      <c r="I38" s="2"/>
      <c r="J38" s="2"/>
      <c r="K38" s="406"/>
    </row>
    <row r="39" spans="1:33" ht="12.75" customHeight="1" x14ac:dyDescent="0.2">
      <c r="A39" s="197" t="s">
        <v>249</v>
      </c>
      <c r="B39" s="218" t="s">
        <v>124</v>
      </c>
      <c r="C39" s="177" t="s">
        <v>130</v>
      </c>
      <c r="D39" s="198" t="s">
        <v>222</v>
      </c>
      <c r="E39" s="141">
        <v>2015</v>
      </c>
      <c r="F39" s="14">
        <f>H39+I39</f>
        <v>505</v>
      </c>
      <c r="G39" s="14"/>
      <c r="H39" s="14">
        <v>500</v>
      </c>
      <c r="I39" s="14">
        <v>5</v>
      </c>
      <c r="J39" s="14"/>
      <c r="K39" s="406"/>
    </row>
    <row r="40" spans="1:33" x14ac:dyDescent="0.2">
      <c r="A40" s="197"/>
      <c r="B40" s="219"/>
      <c r="C40" s="178"/>
      <c r="D40" s="198"/>
      <c r="E40" s="141">
        <v>2016</v>
      </c>
      <c r="F40" s="14">
        <f>SUM(G40:J40)</f>
        <v>0</v>
      </c>
      <c r="G40" s="14"/>
      <c r="H40" s="14">
        <v>0</v>
      </c>
      <c r="I40" s="14">
        <v>0</v>
      </c>
      <c r="J40" s="14"/>
      <c r="K40" s="406"/>
    </row>
    <row r="41" spans="1:33" x14ac:dyDescent="0.2">
      <c r="A41" s="197"/>
      <c r="B41" s="219"/>
      <c r="C41" s="178"/>
      <c r="D41" s="198"/>
      <c r="E41" s="141">
        <v>2017</v>
      </c>
      <c r="F41" s="14">
        <f>SUM(G41:J41)</f>
        <v>0</v>
      </c>
      <c r="G41" s="14"/>
      <c r="H41" s="14"/>
      <c r="I41" s="14"/>
      <c r="J41" s="14"/>
      <c r="K41" s="406"/>
    </row>
    <row r="42" spans="1:33" ht="16.5" customHeight="1" x14ac:dyDescent="0.2">
      <c r="A42" s="197"/>
      <c r="B42" s="219"/>
      <c r="C42" s="178"/>
      <c r="D42" s="198"/>
      <c r="E42" s="141">
        <v>2018</v>
      </c>
      <c r="F42" s="14">
        <f>SUM(G42:J42)</f>
        <v>0</v>
      </c>
      <c r="G42" s="14"/>
      <c r="H42" s="14">
        <f>20165.4-20165.4</f>
        <v>0</v>
      </c>
      <c r="I42" s="14">
        <f>1062-1062</f>
        <v>0</v>
      </c>
      <c r="J42" s="14"/>
      <c r="K42" s="406"/>
      <c r="L42" s="124" t="s">
        <v>271</v>
      </c>
    </row>
    <row r="43" spans="1:33" x14ac:dyDescent="0.2">
      <c r="A43" s="197"/>
      <c r="B43" s="219"/>
      <c r="C43" s="178"/>
      <c r="D43" s="198"/>
      <c r="E43" s="141">
        <v>2019</v>
      </c>
      <c r="F43" s="14">
        <f>SUM(G43:J43)</f>
        <v>0</v>
      </c>
      <c r="G43" s="14"/>
      <c r="H43" s="14"/>
      <c r="I43" s="14"/>
      <c r="J43" s="14"/>
      <c r="K43" s="406"/>
    </row>
    <row r="44" spans="1:33" ht="15" customHeight="1" x14ac:dyDescent="0.2">
      <c r="A44" s="197"/>
      <c r="B44" s="219"/>
      <c r="C44" s="178"/>
      <c r="D44" s="198"/>
      <c r="E44" s="141">
        <v>2020</v>
      </c>
      <c r="F44" s="14">
        <f>SUM(G44:J44)</f>
        <v>12632</v>
      </c>
      <c r="G44" s="14"/>
      <c r="H44" s="14">
        <v>12000</v>
      </c>
      <c r="I44" s="14">
        <v>632</v>
      </c>
      <c r="J44" s="14"/>
      <c r="K44" s="406"/>
    </row>
    <row r="45" spans="1:33" ht="57" customHeight="1" x14ac:dyDescent="0.2">
      <c r="A45" s="197"/>
      <c r="B45" s="219"/>
      <c r="C45" s="178"/>
      <c r="D45" s="198"/>
      <c r="E45" s="32" t="s">
        <v>18</v>
      </c>
      <c r="F45" s="51">
        <f>SUM(F39:F44)</f>
        <v>13137</v>
      </c>
      <c r="G45" s="51">
        <f>SUM(G39:G44)</f>
        <v>0</v>
      </c>
      <c r="H45" s="51">
        <f>SUM(H39:H44)</f>
        <v>12500</v>
      </c>
      <c r="I45" s="51">
        <f>SUM(I39:I44)</f>
        <v>637</v>
      </c>
      <c r="J45" s="28"/>
      <c r="K45" s="406"/>
    </row>
    <row r="46" spans="1:33" x14ac:dyDescent="0.2">
      <c r="A46" s="246" t="s">
        <v>251</v>
      </c>
      <c r="B46" s="215" t="s">
        <v>301</v>
      </c>
      <c r="C46" s="194" t="s">
        <v>250</v>
      </c>
      <c r="D46" s="154" t="s">
        <v>222</v>
      </c>
      <c r="E46" s="141">
        <v>2016</v>
      </c>
      <c r="F46" s="14">
        <f t="shared" ref="F46:F47" si="0">SUM(G46:I46)</f>
        <v>0</v>
      </c>
      <c r="G46" s="14"/>
      <c r="H46" s="14">
        <f>7375.9-7375.9</f>
        <v>0</v>
      </c>
      <c r="I46" s="14">
        <f>74.5-74.5</f>
        <v>0</v>
      </c>
      <c r="J46" s="14"/>
      <c r="K46" s="406"/>
      <c r="L46" s="124" t="s">
        <v>299</v>
      </c>
    </row>
    <row r="47" spans="1:33" x14ac:dyDescent="0.2">
      <c r="A47" s="247"/>
      <c r="B47" s="216"/>
      <c r="C47" s="166"/>
      <c r="D47" s="151"/>
      <c r="E47" s="141">
        <v>2017</v>
      </c>
      <c r="F47" s="14">
        <f t="shared" si="0"/>
        <v>0</v>
      </c>
      <c r="G47" s="14"/>
      <c r="H47" s="14">
        <v>0</v>
      </c>
      <c r="I47" s="14">
        <v>0</v>
      </c>
      <c r="J47" s="14"/>
      <c r="K47" s="406"/>
    </row>
    <row r="48" spans="1:33" ht="85.5" customHeight="1" x14ac:dyDescent="0.2">
      <c r="A48" s="248"/>
      <c r="B48" s="217"/>
      <c r="C48" s="207"/>
      <c r="D48" s="155"/>
      <c r="E48" s="32" t="s">
        <v>18</v>
      </c>
      <c r="F48" s="51">
        <f>SUM(F46:F47)</f>
        <v>0</v>
      </c>
      <c r="G48" s="51">
        <f>SUM(G46:G47)</f>
        <v>0</v>
      </c>
      <c r="H48" s="51">
        <f>SUM(H46:H47)</f>
        <v>0</v>
      </c>
      <c r="I48" s="51">
        <f>SUM(I46:I47)</f>
        <v>0</v>
      </c>
      <c r="J48" s="28"/>
      <c r="K48" s="406"/>
      <c r="L48" s="34"/>
      <c r="M48" s="34"/>
      <c r="N48" s="34"/>
      <c r="O48" s="34"/>
      <c r="P48" s="34"/>
      <c r="Q48" s="34"/>
      <c r="R48" s="34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  <c r="AF48" s="34"/>
      <c r="AG48" s="34"/>
    </row>
    <row r="49" spans="1:33" x14ac:dyDescent="0.2">
      <c r="A49" s="246" t="s">
        <v>319</v>
      </c>
      <c r="B49" s="215" t="s">
        <v>302</v>
      </c>
      <c r="C49" s="194" t="s">
        <v>250</v>
      </c>
      <c r="D49" s="154" t="s">
        <v>222</v>
      </c>
      <c r="E49" s="141">
        <v>2017</v>
      </c>
      <c r="F49" s="14">
        <f t="shared" ref="F49" si="1">SUM(G49:I49)</f>
        <v>7500</v>
      </c>
      <c r="G49" s="14"/>
      <c r="H49" s="14">
        <v>7425</v>
      </c>
      <c r="I49" s="14">
        <v>75</v>
      </c>
      <c r="J49" s="14"/>
      <c r="K49" s="406"/>
      <c r="L49" s="124" t="s">
        <v>299</v>
      </c>
    </row>
    <row r="50" spans="1:33" ht="92.25" customHeight="1" x14ac:dyDescent="0.2">
      <c r="A50" s="248"/>
      <c r="B50" s="217"/>
      <c r="C50" s="207"/>
      <c r="D50" s="155"/>
      <c r="E50" s="32" t="s">
        <v>18</v>
      </c>
      <c r="F50" s="51">
        <f>SUM(F49:F49)</f>
        <v>7500</v>
      </c>
      <c r="G50" s="51">
        <f>SUM(G49:G49)</f>
        <v>0</v>
      </c>
      <c r="H50" s="51">
        <f>SUM(H49:H49)</f>
        <v>7425</v>
      </c>
      <c r="I50" s="51">
        <f>SUM(I49:I49)</f>
        <v>75</v>
      </c>
      <c r="J50" s="28"/>
      <c r="K50" s="406"/>
      <c r="L50" s="34"/>
      <c r="M50" s="34"/>
      <c r="N50" s="34"/>
      <c r="O50" s="34"/>
      <c r="P50" s="34"/>
      <c r="Q50" s="34"/>
      <c r="R50" s="34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  <c r="AF50" s="34"/>
      <c r="AG50" s="34"/>
    </row>
    <row r="51" spans="1:33" x14ac:dyDescent="0.2">
      <c r="A51" s="407" t="s">
        <v>21</v>
      </c>
      <c r="B51" s="408"/>
      <c r="C51" s="408"/>
      <c r="D51" s="409"/>
      <c r="E51" s="32"/>
      <c r="F51" s="51">
        <f>F48+F45+F50</f>
        <v>20637</v>
      </c>
      <c r="G51" s="51">
        <f>G38+G45</f>
        <v>0</v>
      </c>
      <c r="H51" s="51">
        <f>H48+H45+H50</f>
        <v>19925</v>
      </c>
      <c r="I51" s="51">
        <f>I48+I45+I50</f>
        <v>712</v>
      </c>
      <c r="J51" s="28"/>
      <c r="K51" s="406"/>
      <c r="L51" s="34"/>
      <c r="M51" s="34"/>
      <c r="N51" s="34"/>
      <c r="O51" s="34"/>
      <c r="P51" s="34"/>
      <c r="Q51" s="34"/>
      <c r="R51" s="34"/>
      <c r="S51" s="34"/>
      <c r="T51" s="34"/>
      <c r="U51" s="34"/>
      <c r="V51" s="34"/>
      <c r="W51" s="34"/>
      <c r="X51" s="34"/>
      <c r="Y51" s="34"/>
      <c r="Z51" s="34"/>
    </row>
    <row r="52" spans="1:33" ht="24.75" customHeight="1" x14ac:dyDescent="0.2">
      <c r="A52" s="245" t="s">
        <v>22</v>
      </c>
      <c r="B52" s="245"/>
      <c r="C52" s="245"/>
      <c r="D52" s="245"/>
      <c r="E52" s="245"/>
      <c r="F52" s="245"/>
      <c r="G52" s="245"/>
      <c r="H52" s="245"/>
      <c r="I52" s="245"/>
      <c r="J52" s="245"/>
      <c r="K52" s="245"/>
      <c r="L52" s="35"/>
      <c r="M52" s="35"/>
      <c r="N52" s="35"/>
      <c r="O52" s="35"/>
      <c r="P52" s="35"/>
      <c r="Q52" s="35"/>
      <c r="R52" s="35"/>
      <c r="S52" s="35"/>
      <c r="T52" s="35"/>
      <c r="U52" s="35"/>
      <c r="V52" s="35"/>
      <c r="W52" s="35"/>
      <c r="X52" s="35"/>
      <c r="Y52" s="35"/>
      <c r="Z52" s="34"/>
    </row>
    <row r="53" spans="1:33" ht="13.5" customHeight="1" x14ac:dyDescent="0.2">
      <c r="A53" s="190" t="s">
        <v>121</v>
      </c>
      <c r="B53" s="217" t="s">
        <v>23</v>
      </c>
      <c r="C53" s="207" t="s">
        <v>130</v>
      </c>
      <c r="D53" s="154" t="s">
        <v>222</v>
      </c>
      <c r="E53" s="149">
        <v>2015</v>
      </c>
      <c r="F53" s="12">
        <f>SUM(G53:I53)</f>
        <v>4863.4000000000005</v>
      </c>
      <c r="G53" s="12"/>
      <c r="H53" s="12">
        <v>4814.8</v>
      </c>
      <c r="I53" s="12">
        <v>48.6</v>
      </c>
      <c r="J53" s="12"/>
      <c r="K53" s="154" t="s">
        <v>139</v>
      </c>
    </row>
    <row r="54" spans="1:33" x14ac:dyDescent="0.2">
      <c r="A54" s="191"/>
      <c r="B54" s="219"/>
      <c r="C54" s="178"/>
      <c r="D54" s="151"/>
      <c r="E54" s="141">
        <v>2016</v>
      </c>
      <c r="F54" s="14"/>
      <c r="G54" s="14"/>
      <c r="H54" s="14"/>
      <c r="I54" s="14"/>
      <c r="J54" s="14"/>
      <c r="K54" s="151"/>
    </row>
    <row r="55" spans="1:33" x14ac:dyDescent="0.2">
      <c r="A55" s="191"/>
      <c r="B55" s="219"/>
      <c r="C55" s="178"/>
      <c r="D55" s="151"/>
      <c r="E55" s="141">
        <v>2017</v>
      </c>
      <c r="F55" s="14"/>
      <c r="G55" s="14"/>
      <c r="H55" s="14"/>
      <c r="I55" s="14"/>
      <c r="J55" s="14"/>
      <c r="K55" s="151"/>
    </row>
    <row r="56" spans="1:33" x14ac:dyDescent="0.2">
      <c r="A56" s="191"/>
      <c r="B56" s="219"/>
      <c r="C56" s="178"/>
      <c r="D56" s="151"/>
      <c r="E56" s="141">
        <v>2018</v>
      </c>
      <c r="F56" s="14"/>
      <c r="G56" s="14"/>
      <c r="H56" s="14"/>
      <c r="I56" s="14"/>
      <c r="J56" s="14"/>
      <c r="K56" s="151"/>
    </row>
    <row r="57" spans="1:33" x14ac:dyDescent="0.2">
      <c r="A57" s="191"/>
      <c r="B57" s="219"/>
      <c r="C57" s="178"/>
      <c r="D57" s="151"/>
      <c r="E57" s="141">
        <v>2019</v>
      </c>
      <c r="F57" s="14"/>
      <c r="G57" s="14"/>
      <c r="H57" s="14"/>
      <c r="I57" s="14"/>
      <c r="J57" s="14"/>
      <c r="K57" s="151"/>
    </row>
    <row r="58" spans="1:33" x14ac:dyDescent="0.2">
      <c r="A58" s="191"/>
      <c r="B58" s="219"/>
      <c r="C58" s="178"/>
      <c r="D58" s="151"/>
      <c r="E58" s="141">
        <v>2020</v>
      </c>
      <c r="F58" s="14"/>
      <c r="G58" s="14"/>
      <c r="H58" s="14"/>
      <c r="I58" s="14"/>
      <c r="J58" s="14"/>
      <c r="K58" s="151"/>
    </row>
    <row r="59" spans="1:33" ht="47.25" customHeight="1" x14ac:dyDescent="0.2">
      <c r="A59" s="191"/>
      <c r="B59" s="239"/>
      <c r="C59" s="179"/>
      <c r="D59" s="155"/>
      <c r="E59" s="24" t="s">
        <v>18</v>
      </c>
      <c r="F59" s="13">
        <f>SUM(F53:F58)</f>
        <v>4863.4000000000005</v>
      </c>
      <c r="G59" s="13"/>
      <c r="H59" s="13">
        <f>SUM(H53:H58)</f>
        <v>4814.8</v>
      </c>
      <c r="I59" s="13">
        <f>SUM(I53:I58)</f>
        <v>48.6</v>
      </c>
      <c r="J59" s="14"/>
      <c r="K59" s="151"/>
    </row>
    <row r="60" spans="1:33" ht="12.75" customHeight="1" x14ac:dyDescent="0.2">
      <c r="A60" s="191" t="s">
        <v>320</v>
      </c>
      <c r="B60" s="218" t="s">
        <v>24</v>
      </c>
      <c r="C60" s="177">
        <v>2015</v>
      </c>
      <c r="D60" s="154" t="s">
        <v>222</v>
      </c>
      <c r="E60" s="141">
        <v>2015</v>
      </c>
      <c r="F60" s="14">
        <f>SUM(G60:I60)</f>
        <v>1538.4</v>
      </c>
      <c r="G60" s="14"/>
      <c r="H60" s="14"/>
      <c r="I60" s="14">
        <v>1538.4</v>
      </c>
      <c r="J60" s="14"/>
      <c r="K60" s="151"/>
    </row>
    <row r="61" spans="1:33" x14ac:dyDescent="0.2">
      <c r="A61" s="191"/>
      <c r="B61" s="219"/>
      <c r="C61" s="178"/>
      <c r="D61" s="151"/>
      <c r="E61" s="141">
        <v>2016</v>
      </c>
      <c r="F61" s="14"/>
      <c r="G61" s="14"/>
      <c r="H61" s="14"/>
      <c r="I61" s="14"/>
      <c r="J61" s="14"/>
      <c r="K61" s="151"/>
    </row>
    <row r="62" spans="1:33" x14ac:dyDescent="0.2">
      <c r="A62" s="191"/>
      <c r="B62" s="219"/>
      <c r="C62" s="178"/>
      <c r="D62" s="151"/>
      <c r="E62" s="141">
        <v>2017</v>
      </c>
      <c r="F62" s="14"/>
      <c r="G62" s="14"/>
      <c r="H62" s="14"/>
      <c r="I62" s="14"/>
      <c r="J62" s="14"/>
      <c r="K62" s="151"/>
    </row>
    <row r="63" spans="1:33" x14ac:dyDescent="0.2">
      <c r="A63" s="191"/>
      <c r="B63" s="219"/>
      <c r="C63" s="178"/>
      <c r="D63" s="151"/>
      <c r="E63" s="141">
        <v>2018</v>
      </c>
      <c r="F63" s="14"/>
      <c r="G63" s="14"/>
      <c r="H63" s="14"/>
      <c r="I63" s="14"/>
      <c r="J63" s="14"/>
      <c r="K63" s="151"/>
    </row>
    <row r="64" spans="1:33" x14ac:dyDescent="0.2">
      <c r="A64" s="191"/>
      <c r="B64" s="219"/>
      <c r="C64" s="178"/>
      <c r="D64" s="151"/>
      <c r="E64" s="141">
        <v>2019</v>
      </c>
      <c r="F64" s="14"/>
      <c r="G64" s="14"/>
      <c r="H64" s="14"/>
      <c r="I64" s="14"/>
      <c r="J64" s="14"/>
      <c r="K64" s="151"/>
    </row>
    <row r="65" spans="1:36" x14ac:dyDescent="0.2">
      <c r="A65" s="191"/>
      <c r="B65" s="219"/>
      <c r="C65" s="178"/>
      <c r="D65" s="151"/>
      <c r="E65" s="141">
        <v>2020</v>
      </c>
      <c r="F65" s="14"/>
      <c r="G65" s="14"/>
      <c r="H65" s="14"/>
      <c r="I65" s="14"/>
      <c r="J65" s="14"/>
      <c r="K65" s="151"/>
    </row>
    <row r="66" spans="1:36" ht="13.5" customHeight="1" x14ac:dyDescent="0.2">
      <c r="A66" s="191"/>
      <c r="B66" s="239"/>
      <c r="C66" s="179"/>
      <c r="D66" s="155"/>
      <c r="E66" s="24" t="s">
        <v>18</v>
      </c>
      <c r="F66" s="13">
        <f>SUM(F60:F65)</f>
        <v>1538.4</v>
      </c>
      <c r="G66" s="13"/>
      <c r="H66" s="13"/>
      <c r="I66" s="13">
        <f>SUM(I60:I65)</f>
        <v>1538.4</v>
      </c>
      <c r="J66" s="14"/>
      <c r="K66" s="155"/>
    </row>
    <row r="67" spans="1:36" x14ac:dyDescent="0.2">
      <c r="A67" s="191" t="s">
        <v>321</v>
      </c>
      <c r="B67" s="218" t="s">
        <v>25</v>
      </c>
      <c r="C67" s="194" t="s">
        <v>130</v>
      </c>
      <c r="D67" s="154" t="s">
        <v>222</v>
      </c>
      <c r="E67" s="141">
        <v>2015</v>
      </c>
      <c r="F67" s="14">
        <f t="shared" ref="F67:F72" si="2">SUM(G67:J67)</f>
        <v>21031.8</v>
      </c>
      <c r="G67" s="14"/>
      <c r="H67" s="14"/>
      <c r="I67" s="14">
        <f>22881.8-1000-850</f>
        <v>21031.8</v>
      </c>
      <c r="J67" s="14"/>
      <c r="K67" s="154" t="s">
        <v>141</v>
      </c>
    </row>
    <row r="68" spans="1:36" x14ac:dyDescent="0.2">
      <c r="A68" s="191"/>
      <c r="B68" s="219"/>
      <c r="C68" s="167"/>
      <c r="D68" s="151"/>
      <c r="E68" s="141">
        <v>2016</v>
      </c>
      <c r="F68" s="14">
        <f t="shared" si="2"/>
        <v>21444.400000000001</v>
      </c>
      <c r="G68" s="14"/>
      <c r="H68" s="14"/>
      <c r="I68" s="14">
        <f>22597.2-180.3-509-463.5</f>
        <v>21444.400000000001</v>
      </c>
      <c r="J68" s="14"/>
      <c r="K68" s="151"/>
    </row>
    <row r="69" spans="1:36" x14ac:dyDescent="0.2">
      <c r="A69" s="191"/>
      <c r="B69" s="219"/>
      <c r="C69" s="167"/>
      <c r="D69" s="151"/>
      <c r="E69" s="141">
        <v>2017</v>
      </c>
      <c r="F69" s="14">
        <f t="shared" si="2"/>
        <v>21166.7</v>
      </c>
      <c r="G69" s="14"/>
      <c r="H69" s="14"/>
      <c r="I69" s="14">
        <f>22881.8-1715.1</f>
        <v>21166.7</v>
      </c>
      <c r="J69" s="14"/>
      <c r="K69" s="151"/>
      <c r="L69" s="4" t="s">
        <v>256</v>
      </c>
      <c r="M69" s="131"/>
    </row>
    <row r="70" spans="1:36" x14ac:dyDescent="0.2">
      <c r="A70" s="191"/>
      <c r="B70" s="219"/>
      <c r="C70" s="167"/>
      <c r="D70" s="151"/>
      <c r="E70" s="141">
        <v>2018</v>
      </c>
      <c r="F70" s="14">
        <f t="shared" si="2"/>
        <v>14534.9</v>
      </c>
      <c r="G70" s="14"/>
      <c r="H70" s="14"/>
      <c r="I70" s="14">
        <f>22701-8166.1</f>
        <v>14534.9</v>
      </c>
      <c r="J70" s="14"/>
      <c r="K70" s="151"/>
      <c r="L70" s="124" t="s">
        <v>256</v>
      </c>
      <c r="M70" s="131"/>
    </row>
    <row r="71" spans="1:36" x14ac:dyDescent="0.2">
      <c r="A71" s="191"/>
      <c r="B71" s="219"/>
      <c r="C71" s="167"/>
      <c r="D71" s="151"/>
      <c r="E71" s="141">
        <v>2019</v>
      </c>
      <c r="F71" s="14">
        <f t="shared" si="2"/>
        <v>9071</v>
      </c>
      <c r="G71" s="14"/>
      <c r="H71" s="14"/>
      <c r="I71" s="14">
        <f>22360.5-13289.5</f>
        <v>9071</v>
      </c>
      <c r="J71" s="14"/>
      <c r="K71" s="151"/>
      <c r="L71" s="124" t="s">
        <v>256</v>
      </c>
      <c r="M71" s="131"/>
    </row>
    <row r="72" spans="1:36" x14ac:dyDescent="0.2">
      <c r="A72" s="191"/>
      <c r="B72" s="219"/>
      <c r="C72" s="167"/>
      <c r="D72" s="151"/>
      <c r="E72" s="141">
        <v>2020</v>
      </c>
      <c r="F72" s="14">
        <f t="shared" si="2"/>
        <v>21387.8</v>
      </c>
      <c r="G72" s="14"/>
      <c r="H72" s="14"/>
      <c r="I72" s="14">
        <v>21387.8</v>
      </c>
      <c r="J72" s="14"/>
      <c r="K72" s="151"/>
      <c r="M72" s="34"/>
    </row>
    <row r="73" spans="1:36" ht="38.25" customHeight="1" x14ac:dyDescent="0.2">
      <c r="A73" s="191"/>
      <c r="B73" s="219"/>
      <c r="C73" s="180"/>
      <c r="D73" s="155"/>
      <c r="E73" s="24" t="s">
        <v>18</v>
      </c>
      <c r="F73" s="13">
        <f>SUM(F67:F72)</f>
        <v>108636.59999999999</v>
      </c>
      <c r="G73" s="13"/>
      <c r="H73" s="13"/>
      <c r="I73" s="13">
        <f>SUM(I67:I72)</f>
        <v>108636.59999999999</v>
      </c>
      <c r="J73" s="13"/>
      <c r="K73" s="155"/>
    </row>
    <row r="74" spans="1:36" x14ac:dyDescent="0.2">
      <c r="A74" s="191" t="s">
        <v>322</v>
      </c>
      <c r="B74" s="218" t="s">
        <v>303</v>
      </c>
      <c r="C74" s="194" t="s">
        <v>130</v>
      </c>
      <c r="D74" s="154" t="s">
        <v>222</v>
      </c>
      <c r="E74" s="141">
        <v>2017</v>
      </c>
      <c r="F74" s="14">
        <f t="shared" ref="F74:F77" si="3">SUM(G74:J74)</f>
        <v>20253.8</v>
      </c>
      <c r="G74" s="14"/>
      <c r="H74" s="14">
        <v>20253.8</v>
      </c>
      <c r="I74" s="14"/>
      <c r="J74" s="14"/>
      <c r="K74" s="154" t="s">
        <v>315</v>
      </c>
    </row>
    <row r="75" spans="1:36" x14ac:dyDescent="0.2">
      <c r="A75" s="191"/>
      <c r="B75" s="219"/>
      <c r="C75" s="167"/>
      <c r="D75" s="151"/>
      <c r="E75" s="141">
        <v>2018</v>
      </c>
      <c r="F75" s="14">
        <f t="shared" si="3"/>
        <v>0</v>
      </c>
      <c r="G75" s="14"/>
      <c r="H75" s="14"/>
      <c r="I75" s="14"/>
      <c r="J75" s="14"/>
      <c r="K75" s="151"/>
    </row>
    <row r="76" spans="1:36" x14ac:dyDescent="0.2">
      <c r="A76" s="191"/>
      <c r="B76" s="219"/>
      <c r="C76" s="167"/>
      <c r="D76" s="151"/>
      <c r="E76" s="141">
        <v>2019</v>
      </c>
      <c r="F76" s="14">
        <f t="shared" si="3"/>
        <v>0</v>
      </c>
      <c r="G76" s="14"/>
      <c r="H76" s="14"/>
      <c r="I76" s="14"/>
      <c r="J76" s="14"/>
      <c r="K76" s="151"/>
      <c r="L76" s="4" t="s">
        <v>256</v>
      </c>
      <c r="M76" s="131"/>
    </row>
    <row r="77" spans="1:36" x14ac:dyDescent="0.2">
      <c r="A77" s="191"/>
      <c r="B77" s="219"/>
      <c r="C77" s="167"/>
      <c r="D77" s="151"/>
      <c r="E77" s="141">
        <v>2020</v>
      </c>
      <c r="F77" s="14">
        <f t="shared" si="3"/>
        <v>0</v>
      </c>
      <c r="G77" s="14"/>
      <c r="H77" s="14"/>
      <c r="I77" s="14"/>
      <c r="J77" s="14"/>
      <c r="K77" s="151"/>
      <c r="L77" s="124" t="s">
        <v>256</v>
      </c>
      <c r="M77" s="131"/>
    </row>
    <row r="78" spans="1:36" ht="60" customHeight="1" x14ac:dyDescent="0.2">
      <c r="A78" s="191"/>
      <c r="B78" s="219"/>
      <c r="C78" s="180"/>
      <c r="D78" s="155"/>
      <c r="E78" s="24" t="s">
        <v>18</v>
      </c>
      <c r="F78" s="13">
        <f>SUM(F74:F77)</f>
        <v>20253.8</v>
      </c>
      <c r="G78" s="13"/>
      <c r="H78" s="13">
        <f t="shared" ref="H78" si="4">SUM(H74:H77)</f>
        <v>20253.8</v>
      </c>
      <c r="I78" s="13">
        <f>SUM(I74:I77)</f>
        <v>0</v>
      </c>
      <c r="J78" s="13"/>
      <c r="K78" s="155"/>
    </row>
    <row r="79" spans="1:36" ht="14.25" x14ac:dyDescent="0.2">
      <c r="A79" s="249" t="s">
        <v>26</v>
      </c>
      <c r="B79" s="249"/>
      <c r="C79" s="249"/>
      <c r="D79" s="249"/>
      <c r="E79" s="150"/>
      <c r="F79" s="15">
        <f>F59+F66+F73+F78</f>
        <v>135292.19999999998</v>
      </c>
      <c r="G79" s="15"/>
      <c r="H79" s="15">
        <f>H59+H78</f>
        <v>25068.6</v>
      </c>
      <c r="I79" s="15">
        <f>I59+I66+I73</f>
        <v>110223.59999999999</v>
      </c>
      <c r="J79" s="36"/>
      <c r="K79" s="150"/>
    </row>
    <row r="80" spans="1:36" ht="15" thickBot="1" x14ac:dyDescent="0.25">
      <c r="A80" s="195" t="s">
        <v>27</v>
      </c>
      <c r="B80" s="203"/>
      <c r="C80" s="203"/>
      <c r="D80" s="203"/>
      <c r="E80" s="203"/>
      <c r="F80" s="203"/>
      <c r="G80" s="203"/>
      <c r="H80" s="203"/>
      <c r="I80" s="203"/>
      <c r="J80" s="203"/>
      <c r="K80" s="203"/>
      <c r="L80" s="37"/>
      <c r="M80" s="37"/>
      <c r="N80" s="37"/>
      <c r="O80" s="37"/>
      <c r="P80" s="37"/>
      <c r="Q80" s="37"/>
      <c r="R80" s="37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  <c r="AF80" s="37"/>
      <c r="AG80" s="37"/>
      <c r="AH80" s="37"/>
      <c r="AI80" s="37"/>
      <c r="AJ80" s="38"/>
    </row>
    <row r="81" spans="1:36" x14ac:dyDescent="0.2">
      <c r="A81" s="190" t="s">
        <v>323</v>
      </c>
      <c r="B81" s="250" t="s">
        <v>138</v>
      </c>
      <c r="C81" s="194" t="s">
        <v>130</v>
      </c>
      <c r="D81" s="154" t="s">
        <v>222</v>
      </c>
      <c r="E81" s="149">
        <v>2015</v>
      </c>
      <c r="F81" s="12">
        <f>SUM(G81:I81)</f>
        <v>2018.1000000000001</v>
      </c>
      <c r="G81" s="12"/>
      <c r="H81" s="12">
        <v>1997.9</v>
      </c>
      <c r="I81" s="12">
        <v>20.2</v>
      </c>
      <c r="J81" s="12"/>
      <c r="K81" s="154" t="s">
        <v>142</v>
      </c>
      <c r="L81" s="135"/>
      <c r="M81" s="135"/>
      <c r="N81" s="135"/>
      <c r="O81" s="135"/>
      <c r="P81" s="135"/>
      <c r="Q81" s="135"/>
      <c r="R81" s="135"/>
      <c r="S81" s="135"/>
      <c r="T81" s="135"/>
      <c r="U81" s="135"/>
      <c r="V81" s="135"/>
      <c r="W81" s="135"/>
      <c r="X81" s="135"/>
      <c r="Y81" s="135"/>
      <c r="Z81" s="135"/>
      <c r="AA81" s="135"/>
      <c r="AB81" s="135"/>
      <c r="AC81" s="135"/>
      <c r="AD81" s="135"/>
      <c r="AE81" s="135"/>
      <c r="AF81" s="135"/>
      <c r="AG81" s="135"/>
      <c r="AH81" s="135"/>
      <c r="AI81" s="135"/>
      <c r="AJ81" s="135"/>
    </row>
    <row r="82" spans="1:36" x14ac:dyDescent="0.2">
      <c r="A82" s="191"/>
      <c r="B82" s="251"/>
      <c r="C82" s="167"/>
      <c r="D82" s="151"/>
      <c r="E82" s="141">
        <v>2016</v>
      </c>
      <c r="F82" s="14"/>
      <c r="G82" s="14"/>
      <c r="H82" s="14"/>
      <c r="I82" s="14"/>
      <c r="J82" s="14"/>
      <c r="K82" s="151"/>
      <c r="L82" s="135"/>
      <c r="M82" s="135"/>
      <c r="N82" s="135"/>
      <c r="O82" s="135"/>
      <c r="P82" s="135"/>
      <c r="Q82" s="135"/>
      <c r="R82" s="135"/>
      <c r="S82" s="135"/>
      <c r="T82" s="135"/>
      <c r="U82" s="135"/>
      <c r="V82" s="135"/>
      <c r="W82" s="135"/>
      <c r="X82" s="135"/>
      <c r="Y82" s="135"/>
      <c r="Z82" s="135"/>
      <c r="AA82" s="135"/>
      <c r="AB82" s="135"/>
      <c r="AC82" s="135"/>
      <c r="AD82" s="135"/>
      <c r="AE82" s="135"/>
      <c r="AF82" s="135"/>
      <c r="AG82" s="135"/>
      <c r="AH82" s="135"/>
      <c r="AI82" s="135"/>
      <c r="AJ82" s="135"/>
    </row>
    <row r="83" spans="1:36" x14ac:dyDescent="0.2">
      <c r="A83" s="191"/>
      <c r="B83" s="251"/>
      <c r="C83" s="167"/>
      <c r="D83" s="151"/>
      <c r="E83" s="141">
        <v>2017</v>
      </c>
      <c r="F83" s="14">
        <f>SUM(G83:I83)</f>
        <v>0</v>
      </c>
      <c r="G83" s="14"/>
      <c r="H83" s="14">
        <f>23675-23675</f>
        <v>0</v>
      </c>
      <c r="I83" s="14">
        <f>239.1-239.1</f>
        <v>0</v>
      </c>
      <c r="J83" s="14"/>
      <c r="K83" s="151"/>
      <c r="L83" s="134" t="s">
        <v>269</v>
      </c>
      <c r="M83" s="135"/>
      <c r="N83" s="135"/>
      <c r="O83" s="135"/>
      <c r="P83" s="135"/>
      <c r="Q83" s="135"/>
      <c r="R83" s="135"/>
      <c r="S83" s="135"/>
      <c r="T83" s="135"/>
      <c r="U83" s="135"/>
      <c r="V83" s="135"/>
      <c r="W83" s="135"/>
      <c r="X83" s="135"/>
      <c r="Y83" s="135"/>
      <c r="Z83" s="135"/>
      <c r="AA83" s="135"/>
      <c r="AB83" s="135"/>
      <c r="AC83" s="135"/>
      <c r="AD83" s="135"/>
      <c r="AE83" s="135"/>
      <c r="AF83" s="135"/>
      <c r="AG83" s="135"/>
      <c r="AH83" s="135"/>
      <c r="AI83" s="135"/>
      <c r="AJ83" s="135"/>
    </row>
    <row r="84" spans="1:36" x14ac:dyDescent="0.2">
      <c r="A84" s="191"/>
      <c r="B84" s="251"/>
      <c r="C84" s="167"/>
      <c r="D84" s="151"/>
      <c r="E84" s="141">
        <v>2018</v>
      </c>
      <c r="F84" s="14"/>
      <c r="G84" s="14"/>
      <c r="H84" s="14"/>
      <c r="I84" s="14"/>
      <c r="J84" s="14"/>
      <c r="K84" s="151"/>
      <c r="L84" s="135"/>
      <c r="M84" s="135"/>
      <c r="N84" s="135"/>
      <c r="O84" s="135"/>
      <c r="P84" s="135"/>
      <c r="Q84" s="135"/>
      <c r="R84" s="135"/>
      <c r="S84" s="135"/>
      <c r="T84" s="135"/>
      <c r="U84" s="135"/>
      <c r="V84" s="135"/>
      <c r="W84" s="135"/>
      <c r="X84" s="135"/>
      <c r="Y84" s="135"/>
      <c r="Z84" s="135"/>
      <c r="AA84" s="135"/>
      <c r="AB84" s="135"/>
      <c r="AC84" s="135"/>
      <c r="AD84" s="135"/>
      <c r="AE84" s="135"/>
      <c r="AF84" s="135"/>
      <c r="AG84" s="135"/>
      <c r="AH84" s="135"/>
      <c r="AI84" s="135"/>
      <c r="AJ84" s="135"/>
    </row>
    <row r="85" spans="1:36" x14ac:dyDescent="0.2">
      <c r="A85" s="191"/>
      <c r="B85" s="251"/>
      <c r="C85" s="167"/>
      <c r="D85" s="151"/>
      <c r="E85" s="141">
        <v>2019</v>
      </c>
      <c r="F85" s="14"/>
      <c r="G85" s="14"/>
      <c r="H85" s="14"/>
      <c r="I85" s="14"/>
      <c r="J85" s="14"/>
      <c r="K85" s="151"/>
      <c r="L85" s="135"/>
      <c r="M85" s="135"/>
      <c r="N85" s="135"/>
      <c r="O85" s="135"/>
      <c r="P85" s="135"/>
      <c r="Q85" s="135"/>
      <c r="R85" s="135"/>
      <c r="S85" s="135"/>
      <c r="T85" s="135"/>
      <c r="U85" s="135"/>
      <c r="V85" s="135"/>
      <c r="W85" s="135"/>
      <c r="X85" s="135"/>
      <c r="Y85" s="135"/>
      <c r="Z85" s="135"/>
      <c r="AA85" s="135"/>
      <c r="AB85" s="135"/>
      <c r="AC85" s="135"/>
      <c r="AD85" s="135"/>
      <c r="AE85" s="135"/>
      <c r="AF85" s="135"/>
      <c r="AG85" s="135"/>
      <c r="AH85" s="135"/>
      <c r="AI85" s="135"/>
      <c r="AJ85" s="135"/>
    </row>
    <row r="86" spans="1:36" x14ac:dyDescent="0.2">
      <c r="A86" s="191"/>
      <c r="B86" s="251"/>
      <c r="C86" s="167"/>
      <c r="D86" s="151"/>
      <c r="E86" s="141">
        <v>2020</v>
      </c>
      <c r="F86" s="14"/>
      <c r="G86" s="14"/>
      <c r="H86" s="14"/>
      <c r="I86" s="14"/>
      <c r="J86" s="14"/>
      <c r="K86" s="151"/>
      <c r="L86" s="135"/>
      <c r="M86" s="135"/>
      <c r="N86" s="135"/>
      <c r="O86" s="135"/>
      <c r="P86" s="135"/>
      <c r="Q86" s="135"/>
      <c r="R86" s="135"/>
      <c r="S86" s="135"/>
      <c r="T86" s="135"/>
      <c r="U86" s="135"/>
      <c r="V86" s="135"/>
      <c r="W86" s="135"/>
      <c r="X86" s="135"/>
      <c r="Y86" s="135"/>
      <c r="Z86" s="135"/>
      <c r="AA86" s="135"/>
      <c r="AB86" s="135"/>
      <c r="AC86" s="135"/>
      <c r="AD86" s="135"/>
      <c r="AE86" s="135"/>
      <c r="AF86" s="135"/>
      <c r="AG86" s="135"/>
      <c r="AH86" s="135"/>
      <c r="AI86" s="135"/>
      <c r="AJ86" s="135"/>
    </row>
    <row r="87" spans="1:36" ht="30" customHeight="1" x14ac:dyDescent="0.2">
      <c r="A87" s="191"/>
      <c r="B87" s="252"/>
      <c r="C87" s="180"/>
      <c r="D87" s="155"/>
      <c r="E87" s="24" t="s">
        <v>18</v>
      </c>
      <c r="F87" s="13">
        <f>SUM(G87:I87)</f>
        <v>2018.1000000000001</v>
      </c>
      <c r="G87" s="13"/>
      <c r="H87" s="13">
        <f>SUM(H81:H85)</f>
        <v>1997.9</v>
      </c>
      <c r="I87" s="13">
        <f>SUM(I81:I85)</f>
        <v>20.2</v>
      </c>
      <c r="J87" s="14"/>
      <c r="K87" s="155"/>
      <c r="L87" s="135"/>
      <c r="M87" s="135"/>
      <c r="N87" s="135"/>
      <c r="O87" s="135"/>
      <c r="P87" s="135"/>
      <c r="Q87" s="135"/>
      <c r="R87" s="135"/>
      <c r="S87" s="135"/>
      <c r="T87" s="135"/>
      <c r="U87" s="135"/>
      <c r="V87" s="135"/>
      <c r="W87" s="135"/>
      <c r="X87" s="135"/>
      <c r="Y87" s="135"/>
      <c r="Z87" s="135"/>
      <c r="AA87" s="135"/>
      <c r="AB87" s="135"/>
      <c r="AC87" s="135"/>
      <c r="AD87" s="135"/>
      <c r="AE87" s="135"/>
      <c r="AF87" s="135"/>
      <c r="AG87" s="135"/>
      <c r="AH87" s="135"/>
      <c r="AI87" s="135"/>
      <c r="AJ87" s="135"/>
    </row>
    <row r="88" spans="1:36" ht="15" customHeight="1" x14ac:dyDescent="0.2">
      <c r="A88" s="255" t="s">
        <v>324</v>
      </c>
      <c r="B88" s="208" t="s">
        <v>254</v>
      </c>
      <c r="C88" s="194" t="s">
        <v>221</v>
      </c>
      <c r="D88" s="154" t="s">
        <v>222</v>
      </c>
      <c r="E88" s="149">
        <v>2015</v>
      </c>
      <c r="F88" s="12"/>
      <c r="G88" s="12"/>
      <c r="H88" s="12"/>
      <c r="I88" s="12"/>
      <c r="J88" s="12"/>
      <c r="K88" s="154" t="s">
        <v>143</v>
      </c>
      <c r="L88" s="135"/>
      <c r="M88" s="135"/>
      <c r="N88" s="135"/>
      <c r="O88" s="135"/>
      <c r="P88" s="135"/>
      <c r="Q88" s="135"/>
      <c r="R88" s="135"/>
      <c r="S88" s="135"/>
      <c r="T88" s="135"/>
      <c r="U88" s="135"/>
      <c r="V88" s="135"/>
      <c r="W88" s="135"/>
      <c r="X88" s="135"/>
      <c r="Y88" s="135"/>
      <c r="Z88" s="135"/>
      <c r="AA88" s="135"/>
      <c r="AB88" s="135"/>
      <c r="AC88" s="135"/>
      <c r="AD88" s="135"/>
      <c r="AE88" s="135"/>
      <c r="AF88" s="135"/>
      <c r="AG88" s="135"/>
      <c r="AH88" s="135"/>
      <c r="AI88" s="135"/>
      <c r="AJ88" s="135"/>
    </row>
    <row r="89" spans="1:36" ht="15" customHeight="1" x14ac:dyDescent="0.2">
      <c r="A89" s="256"/>
      <c r="B89" s="209"/>
      <c r="C89" s="166"/>
      <c r="D89" s="151"/>
      <c r="E89" s="141">
        <v>2016</v>
      </c>
      <c r="F89" s="12">
        <f>SUM(G89:J89)</f>
        <v>7379.4</v>
      </c>
      <c r="G89" s="14"/>
      <c r="H89" s="14"/>
      <c r="I89" s="14">
        <f>1500+4748.2+1131.2</f>
        <v>7379.4</v>
      </c>
      <c r="J89" s="14"/>
      <c r="K89" s="151"/>
      <c r="L89" s="134"/>
      <c r="M89" s="134"/>
      <c r="N89" s="134"/>
      <c r="O89" s="134"/>
      <c r="P89" s="135"/>
      <c r="Q89" s="135"/>
      <c r="R89" s="135"/>
      <c r="S89" s="135"/>
      <c r="T89" s="135"/>
      <c r="U89" s="135"/>
      <c r="V89" s="135"/>
      <c r="W89" s="135"/>
      <c r="X89" s="135"/>
      <c r="Y89" s="135"/>
      <c r="Z89" s="135"/>
      <c r="AA89" s="135"/>
      <c r="AB89" s="135"/>
      <c r="AC89" s="135"/>
      <c r="AD89" s="135"/>
      <c r="AE89" s="135"/>
      <c r="AF89" s="135"/>
      <c r="AG89" s="135"/>
      <c r="AH89" s="135"/>
      <c r="AI89" s="135"/>
      <c r="AJ89" s="135"/>
    </row>
    <row r="90" spans="1:36" ht="12.75" customHeight="1" x14ac:dyDescent="0.2">
      <c r="A90" s="256"/>
      <c r="B90" s="209"/>
      <c r="C90" s="166"/>
      <c r="D90" s="151"/>
      <c r="E90" s="141">
        <v>2017</v>
      </c>
      <c r="F90" s="12">
        <f>SUM(G90:J90)</f>
        <v>3628</v>
      </c>
      <c r="G90" s="14"/>
      <c r="H90" s="14"/>
      <c r="I90" s="14">
        <v>3628</v>
      </c>
      <c r="J90" s="14"/>
      <c r="K90" s="151"/>
      <c r="L90" s="134" t="s">
        <v>255</v>
      </c>
      <c r="M90" s="395" t="s">
        <v>257</v>
      </c>
      <c r="N90" s="395"/>
      <c r="O90" s="395"/>
      <c r="P90" s="135"/>
      <c r="Q90" s="135"/>
      <c r="R90" s="135"/>
      <c r="S90" s="135"/>
      <c r="T90" s="135"/>
      <c r="U90" s="135"/>
      <c r="V90" s="135"/>
      <c r="W90" s="135"/>
      <c r="X90" s="135"/>
      <c r="Y90" s="135"/>
      <c r="Z90" s="135"/>
      <c r="AA90" s="135"/>
      <c r="AB90" s="135"/>
      <c r="AC90" s="135"/>
      <c r="AD90" s="135"/>
      <c r="AE90" s="135"/>
      <c r="AF90" s="135"/>
      <c r="AG90" s="135"/>
      <c r="AH90" s="135"/>
      <c r="AI90" s="135"/>
      <c r="AJ90" s="135"/>
    </row>
    <row r="91" spans="1:36" ht="12" customHeight="1" x14ac:dyDescent="0.2">
      <c r="A91" s="256"/>
      <c r="B91" s="209"/>
      <c r="C91" s="166"/>
      <c r="D91" s="151"/>
      <c r="E91" s="141">
        <v>2018</v>
      </c>
      <c r="F91" s="12">
        <f>SUM(G91:J91)</f>
        <v>1000</v>
      </c>
      <c r="G91" s="14"/>
      <c r="H91" s="14"/>
      <c r="I91" s="14">
        <v>1000</v>
      </c>
      <c r="J91" s="14"/>
      <c r="K91" s="151"/>
      <c r="L91" s="134" t="s">
        <v>255</v>
      </c>
      <c r="M91" s="134"/>
      <c r="N91" s="134"/>
      <c r="O91" s="134"/>
      <c r="P91" s="135"/>
      <c r="Q91" s="135"/>
      <c r="R91" s="135"/>
      <c r="S91" s="135"/>
      <c r="T91" s="135"/>
      <c r="U91" s="135"/>
      <c r="V91" s="135"/>
      <c r="W91" s="135"/>
      <c r="X91" s="135"/>
      <c r="Y91" s="135"/>
      <c r="Z91" s="135"/>
      <c r="AA91" s="135"/>
      <c r="AB91" s="135"/>
      <c r="AC91" s="135"/>
      <c r="AD91" s="135"/>
      <c r="AE91" s="135"/>
      <c r="AF91" s="135"/>
      <c r="AG91" s="135"/>
      <c r="AH91" s="135"/>
      <c r="AI91" s="135"/>
      <c r="AJ91" s="135"/>
    </row>
    <row r="92" spans="1:36" ht="14.25" customHeight="1" x14ac:dyDescent="0.2">
      <c r="A92" s="256"/>
      <c r="B92" s="209"/>
      <c r="C92" s="166"/>
      <c r="D92" s="151"/>
      <c r="E92" s="141">
        <v>2019</v>
      </c>
      <c r="F92" s="12">
        <f>SUM(G92:J92)</f>
        <v>1000</v>
      </c>
      <c r="G92" s="14"/>
      <c r="H92" s="14"/>
      <c r="I92" s="14">
        <v>1000</v>
      </c>
      <c r="J92" s="14"/>
      <c r="K92" s="151"/>
      <c r="L92" s="134" t="s">
        <v>255</v>
      </c>
      <c r="M92" s="134"/>
      <c r="N92" s="134"/>
      <c r="O92" s="134"/>
      <c r="P92" s="135"/>
      <c r="Q92" s="135"/>
      <c r="R92" s="135"/>
      <c r="S92" s="135"/>
      <c r="T92" s="135"/>
      <c r="U92" s="135"/>
      <c r="V92" s="135"/>
      <c r="W92" s="135"/>
      <c r="X92" s="135"/>
      <c r="Y92" s="135"/>
      <c r="Z92" s="135"/>
      <c r="AA92" s="135"/>
      <c r="AB92" s="135"/>
      <c r="AC92" s="135"/>
      <c r="AD92" s="135"/>
      <c r="AE92" s="135"/>
      <c r="AF92" s="135"/>
      <c r="AG92" s="135"/>
      <c r="AH92" s="135"/>
      <c r="AI92" s="135"/>
      <c r="AJ92" s="135"/>
    </row>
    <row r="93" spans="1:36" ht="12" customHeight="1" x14ac:dyDescent="0.2">
      <c r="A93" s="256"/>
      <c r="B93" s="209"/>
      <c r="C93" s="166"/>
      <c r="D93" s="151"/>
      <c r="E93" s="141">
        <v>2020</v>
      </c>
      <c r="F93" s="14"/>
      <c r="G93" s="14"/>
      <c r="H93" s="14"/>
      <c r="I93" s="14"/>
      <c r="J93" s="14"/>
      <c r="K93" s="151"/>
      <c r="L93" s="134"/>
      <c r="M93" s="134"/>
      <c r="N93" s="134"/>
      <c r="O93" s="134"/>
      <c r="P93" s="135"/>
      <c r="Q93" s="135"/>
      <c r="R93" s="135"/>
      <c r="S93" s="135"/>
      <c r="T93" s="135"/>
      <c r="U93" s="135"/>
      <c r="V93" s="135"/>
      <c r="W93" s="135"/>
      <c r="X93" s="135"/>
      <c r="Y93" s="135"/>
      <c r="Z93" s="135"/>
      <c r="AA93" s="135"/>
      <c r="AB93" s="135"/>
      <c r="AC93" s="135"/>
      <c r="AD93" s="135"/>
      <c r="AE93" s="135"/>
      <c r="AF93" s="135"/>
      <c r="AG93" s="135"/>
      <c r="AH93" s="135"/>
      <c r="AI93" s="135"/>
      <c r="AJ93" s="135"/>
    </row>
    <row r="94" spans="1:36" ht="15" customHeight="1" x14ac:dyDescent="0.2">
      <c r="A94" s="257"/>
      <c r="B94" s="164"/>
      <c r="C94" s="207"/>
      <c r="D94" s="155"/>
      <c r="E94" s="24" t="s">
        <v>18</v>
      </c>
      <c r="F94" s="13">
        <f>SUM(G94:I94)</f>
        <v>13007.4</v>
      </c>
      <c r="G94" s="13"/>
      <c r="H94" s="13">
        <f>SUM(H88:H92)</f>
        <v>0</v>
      </c>
      <c r="I94" s="13">
        <f>SUM(I88:I92)</f>
        <v>13007.4</v>
      </c>
      <c r="J94" s="14"/>
      <c r="K94" s="155"/>
      <c r="L94" s="135"/>
      <c r="M94" s="135"/>
      <c r="N94" s="135"/>
      <c r="O94" s="135"/>
      <c r="P94" s="135"/>
      <c r="Q94" s="135"/>
      <c r="R94" s="135"/>
      <c r="S94" s="135"/>
      <c r="T94" s="135"/>
      <c r="U94" s="135"/>
      <c r="V94" s="135"/>
      <c r="W94" s="135"/>
      <c r="X94" s="135"/>
      <c r="Y94" s="135"/>
      <c r="Z94" s="135"/>
      <c r="AA94" s="135"/>
      <c r="AB94" s="135"/>
      <c r="AC94" s="135"/>
      <c r="AD94" s="135"/>
      <c r="AE94" s="135"/>
      <c r="AF94" s="135"/>
      <c r="AG94" s="135"/>
      <c r="AH94" s="135"/>
      <c r="AI94" s="135"/>
      <c r="AJ94" s="135"/>
    </row>
    <row r="95" spans="1:36" ht="14.25" x14ac:dyDescent="0.2">
      <c r="A95" s="253" t="s">
        <v>28</v>
      </c>
      <c r="B95" s="253"/>
      <c r="C95" s="253"/>
      <c r="D95" s="253"/>
      <c r="E95" s="25"/>
      <c r="F95" s="16">
        <f>SUM(G95:I95)</f>
        <v>15025.5</v>
      </c>
      <c r="G95" s="16"/>
      <c r="H95" s="16">
        <f>H87</f>
        <v>1997.9</v>
      </c>
      <c r="I95" s="16">
        <f>I87+I94</f>
        <v>13027.6</v>
      </c>
      <c r="J95" s="26"/>
      <c r="K95" s="25"/>
    </row>
    <row r="96" spans="1:36" ht="15" x14ac:dyDescent="0.25">
      <c r="A96" s="243" t="s">
        <v>29</v>
      </c>
      <c r="B96" s="254"/>
      <c r="C96" s="254"/>
      <c r="D96" s="254"/>
      <c r="E96" s="254"/>
      <c r="F96" s="254"/>
      <c r="G96" s="254"/>
      <c r="H96" s="254"/>
      <c r="I96" s="254"/>
      <c r="J96" s="254"/>
      <c r="K96" s="254"/>
      <c r="L96" s="39"/>
      <c r="M96" s="39"/>
      <c r="N96" s="39"/>
      <c r="O96" s="39"/>
      <c r="P96" s="39"/>
      <c r="Q96" s="39"/>
      <c r="R96" s="39"/>
      <c r="S96" s="39"/>
      <c r="T96" s="39"/>
      <c r="U96" s="39"/>
      <c r="V96" s="34"/>
      <c r="W96" s="34"/>
      <c r="X96" s="34"/>
      <c r="Y96" s="34"/>
      <c r="Z96" s="34"/>
      <c r="AA96" s="34"/>
      <c r="AB96" s="34"/>
      <c r="AC96" s="34"/>
    </row>
    <row r="97" spans="1:13" x14ac:dyDescent="0.2">
      <c r="A97" s="191" t="s">
        <v>325</v>
      </c>
      <c r="B97" s="215" t="s">
        <v>30</v>
      </c>
      <c r="C97" s="194" t="s">
        <v>130</v>
      </c>
      <c r="D97" s="154" t="s">
        <v>222</v>
      </c>
      <c r="E97" s="141">
        <v>2015</v>
      </c>
      <c r="F97" s="14">
        <f t="shared" ref="F97:F103" si="5">SUM(G97:I97)</f>
        <v>600</v>
      </c>
      <c r="G97" s="14"/>
      <c r="H97" s="14"/>
      <c r="I97" s="14">
        <v>600</v>
      </c>
      <c r="J97" s="14"/>
      <c r="K97" s="154" t="s">
        <v>140</v>
      </c>
    </row>
    <row r="98" spans="1:13" x14ac:dyDescent="0.2">
      <c r="A98" s="191"/>
      <c r="B98" s="205"/>
      <c r="C98" s="167"/>
      <c r="D98" s="151"/>
      <c r="E98" s="141">
        <v>2016</v>
      </c>
      <c r="F98" s="14">
        <f t="shared" si="5"/>
        <v>700</v>
      </c>
      <c r="G98" s="14"/>
      <c r="H98" s="14"/>
      <c r="I98" s="14">
        <v>700</v>
      </c>
      <c r="J98" s="14"/>
      <c r="K98" s="151"/>
    </row>
    <row r="99" spans="1:13" x14ac:dyDescent="0.2">
      <c r="A99" s="191"/>
      <c r="B99" s="205"/>
      <c r="C99" s="167"/>
      <c r="D99" s="151"/>
      <c r="E99" s="141">
        <v>2017</v>
      </c>
      <c r="F99" s="14">
        <f t="shared" si="5"/>
        <v>0</v>
      </c>
      <c r="G99" s="14"/>
      <c r="H99" s="14"/>
      <c r="I99" s="14">
        <v>0</v>
      </c>
      <c r="J99" s="14"/>
      <c r="K99" s="151"/>
    </row>
    <row r="100" spans="1:13" x14ac:dyDescent="0.2">
      <c r="A100" s="191"/>
      <c r="B100" s="205"/>
      <c r="C100" s="167"/>
      <c r="D100" s="151"/>
      <c r="E100" s="141">
        <v>2018</v>
      </c>
      <c r="F100" s="14">
        <f t="shared" si="5"/>
        <v>0</v>
      </c>
      <c r="G100" s="14"/>
      <c r="H100" s="14"/>
      <c r="I100" s="14">
        <f>900-900</f>
        <v>0</v>
      </c>
      <c r="J100" s="14"/>
      <c r="K100" s="151"/>
      <c r="L100" s="124" t="s">
        <v>270</v>
      </c>
      <c r="M100" s="124"/>
    </row>
    <row r="101" spans="1:13" x14ac:dyDescent="0.2">
      <c r="A101" s="191"/>
      <c r="B101" s="205"/>
      <c r="C101" s="167"/>
      <c r="D101" s="151"/>
      <c r="E101" s="141">
        <v>2019</v>
      </c>
      <c r="F101" s="14">
        <v>0</v>
      </c>
      <c r="G101" s="14"/>
      <c r="H101" s="14"/>
      <c r="I101" s="14">
        <f>1000-1000</f>
        <v>0</v>
      </c>
      <c r="J101" s="14"/>
      <c r="K101" s="151"/>
      <c r="L101" s="124" t="s">
        <v>270</v>
      </c>
    </row>
    <row r="102" spans="1:13" x14ac:dyDescent="0.2">
      <c r="A102" s="191"/>
      <c r="B102" s="205"/>
      <c r="C102" s="167"/>
      <c r="D102" s="151"/>
      <c r="E102" s="141">
        <v>2020</v>
      </c>
      <c r="F102" s="14">
        <f t="shared" si="5"/>
        <v>1000</v>
      </c>
      <c r="G102" s="14"/>
      <c r="H102" s="14"/>
      <c r="I102" s="14">
        <v>1000</v>
      </c>
      <c r="J102" s="14"/>
      <c r="K102" s="151"/>
    </row>
    <row r="103" spans="1:13" x14ac:dyDescent="0.2">
      <c r="A103" s="191"/>
      <c r="B103" s="206"/>
      <c r="C103" s="180"/>
      <c r="D103" s="155"/>
      <c r="E103" s="24" t="s">
        <v>18</v>
      </c>
      <c r="F103" s="13">
        <f t="shared" si="5"/>
        <v>2300</v>
      </c>
      <c r="G103" s="13"/>
      <c r="H103" s="13"/>
      <c r="I103" s="13">
        <f>SUM(I97:I102)</f>
        <v>2300</v>
      </c>
      <c r="J103" s="14"/>
      <c r="K103" s="155"/>
    </row>
    <row r="104" spans="1:13" ht="14.25" x14ac:dyDescent="0.2">
      <c r="A104" s="249" t="s">
        <v>31</v>
      </c>
      <c r="B104" s="272"/>
      <c r="C104" s="272"/>
      <c r="D104" s="249"/>
      <c r="E104" s="249"/>
      <c r="F104" s="249"/>
      <c r="G104" s="249"/>
      <c r="H104" s="249"/>
      <c r="I104" s="249"/>
      <c r="J104" s="249"/>
      <c r="K104" s="249"/>
    </row>
    <row r="105" spans="1:13" x14ac:dyDescent="0.2">
      <c r="A105" s="191" t="s">
        <v>326</v>
      </c>
      <c r="B105" s="218" t="s">
        <v>32</v>
      </c>
      <c r="C105" s="194" t="s">
        <v>130</v>
      </c>
      <c r="D105" s="154" t="s">
        <v>222</v>
      </c>
      <c r="E105" s="141">
        <v>2015</v>
      </c>
      <c r="F105" s="14">
        <f t="shared" ref="F105:F110" si="6">SUM(G105:I105)</f>
        <v>0</v>
      </c>
      <c r="G105" s="14"/>
      <c r="H105" s="14"/>
      <c r="I105" s="14">
        <v>0</v>
      </c>
      <c r="J105" s="14"/>
      <c r="K105" s="154" t="s">
        <v>140</v>
      </c>
    </row>
    <row r="106" spans="1:13" x14ac:dyDescent="0.2">
      <c r="A106" s="191"/>
      <c r="B106" s="219"/>
      <c r="C106" s="167"/>
      <c r="D106" s="151"/>
      <c r="E106" s="141">
        <v>2016</v>
      </c>
      <c r="F106" s="14">
        <f t="shared" si="6"/>
        <v>0</v>
      </c>
      <c r="G106" s="14"/>
      <c r="H106" s="14"/>
      <c r="I106" s="14">
        <v>0</v>
      </c>
      <c r="J106" s="14"/>
      <c r="K106" s="151"/>
    </row>
    <row r="107" spans="1:13" x14ac:dyDescent="0.2">
      <c r="A107" s="191"/>
      <c r="B107" s="219"/>
      <c r="C107" s="167"/>
      <c r="D107" s="151"/>
      <c r="E107" s="141">
        <v>2017</v>
      </c>
      <c r="F107" s="14">
        <f t="shared" si="6"/>
        <v>0</v>
      </c>
      <c r="G107" s="14"/>
      <c r="H107" s="14"/>
      <c r="I107" s="14">
        <v>0</v>
      </c>
      <c r="J107" s="14"/>
      <c r="K107" s="151"/>
    </row>
    <row r="108" spans="1:13" x14ac:dyDescent="0.2">
      <c r="A108" s="191"/>
      <c r="B108" s="219"/>
      <c r="C108" s="167"/>
      <c r="D108" s="151"/>
      <c r="E108" s="141">
        <v>2018</v>
      </c>
      <c r="F108" s="14">
        <f t="shared" si="6"/>
        <v>0</v>
      </c>
      <c r="G108" s="14"/>
      <c r="H108" s="14"/>
      <c r="I108" s="14">
        <f>176.7-176.7</f>
        <v>0</v>
      </c>
      <c r="J108" s="14"/>
      <c r="K108" s="151"/>
      <c r="L108" s="124" t="s">
        <v>270</v>
      </c>
      <c r="M108" s="124"/>
    </row>
    <row r="109" spans="1:13" x14ac:dyDescent="0.2">
      <c r="A109" s="191"/>
      <c r="B109" s="219"/>
      <c r="C109" s="167"/>
      <c r="D109" s="151"/>
      <c r="E109" s="141">
        <v>2019</v>
      </c>
      <c r="F109" s="14">
        <f t="shared" si="6"/>
        <v>0</v>
      </c>
      <c r="G109" s="14"/>
      <c r="H109" s="14"/>
      <c r="I109" s="14">
        <f>202-202</f>
        <v>0</v>
      </c>
      <c r="J109" s="14"/>
      <c r="K109" s="151"/>
      <c r="L109" s="124" t="s">
        <v>270</v>
      </c>
    </row>
    <row r="110" spans="1:13" x14ac:dyDescent="0.2">
      <c r="A110" s="191"/>
      <c r="B110" s="219"/>
      <c r="C110" s="167"/>
      <c r="D110" s="151"/>
      <c r="E110" s="141">
        <v>2020</v>
      </c>
      <c r="F110" s="14">
        <f t="shared" si="6"/>
        <v>230.6</v>
      </c>
      <c r="G110" s="14"/>
      <c r="H110" s="14"/>
      <c r="I110" s="14">
        <v>230.6</v>
      </c>
      <c r="J110" s="14"/>
      <c r="K110" s="151"/>
    </row>
    <row r="111" spans="1:13" x14ac:dyDescent="0.2">
      <c r="A111" s="191"/>
      <c r="B111" s="219"/>
      <c r="C111" s="180"/>
      <c r="D111" s="155"/>
      <c r="E111" s="24" t="s">
        <v>18</v>
      </c>
      <c r="F111" s="13">
        <f>SUM(F105:F110)</f>
        <v>230.6</v>
      </c>
      <c r="G111" s="13"/>
      <c r="H111" s="13"/>
      <c r="I111" s="13">
        <f>SUM(I105:I110)</f>
        <v>230.6</v>
      </c>
      <c r="J111" s="14"/>
      <c r="K111" s="155"/>
    </row>
    <row r="112" spans="1:13" ht="20.25" customHeight="1" x14ac:dyDescent="0.25">
      <c r="A112" s="258" t="s">
        <v>208</v>
      </c>
      <c r="B112" s="259"/>
      <c r="C112" s="260"/>
      <c r="D112" s="261"/>
      <c r="E112" s="40"/>
      <c r="F112" s="16">
        <f>SUM(G112:I112)</f>
        <v>302708.19999999995</v>
      </c>
      <c r="G112" s="16"/>
      <c r="H112" s="16">
        <f>H111+H103+H95+H79+H51+H30</f>
        <v>165978</v>
      </c>
      <c r="I112" s="16">
        <f>I111+I103+I95+I79+I51+I30</f>
        <v>136730.19999999998</v>
      </c>
      <c r="J112" s="27"/>
      <c r="K112" s="40"/>
    </row>
    <row r="113" spans="1:36" ht="16.5" thickBot="1" x14ac:dyDescent="0.3">
      <c r="A113" s="262" t="s">
        <v>190</v>
      </c>
      <c r="B113" s="263"/>
      <c r="C113" s="263"/>
      <c r="D113" s="263"/>
      <c r="E113" s="263"/>
      <c r="F113" s="263"/>
      <c r="G113" s="263"/>
      <c r="H113" s="263"/>
      <c r="I113" s="263"/>
      <c r="J113" s="263"/>
      <c r="K113" s="264"/>
      <c r="L113" s="132"/>
      <c r="M113" s="132"/>
      <c r="N113" s="132"/>
      <c r="O113" s="132"/>
      <c r="P113" s="132"/>
      <c r="Q113" s="132"/>
      <c r="R113" s="132"/>
      <c r="S113" s="132"/>
      <c r="T113" s="132"/>
      <c r="U113" s="132"/>
      <c r="V113" s="132"/>
      <c r="W113" s="132"/>
      <c r="X113" s="132"/>
      <c r="Y113" s="132"/>
      <c r="Z113" s="132"/>
      <c r="AA113" s="132"/>
      <c r="AB113" s="132"/>
      <c r="AC113" s="132"/>
      <c r="AD113" s="132"/>
      <c r="AE113" s="132"/>
      <c r="AF113" s="132"/>
      <c r="AG113" s="132"/>
      <c r="AH113" s="132"/>
      <c r="AI113" s="132"/>
      <c r="AJ113" s="132"/>
    </row>
    <row r="114" spans="1:36" ht="44.25" customHeight="1" thickBot="1" x14ac:dyDescent="0.25">
      <c r="A114" s="156" t="s">
        <v>239</v>
      </c>
      <c r="B114" s="265"/>
      <c r="C114" s="265"/>
      <c r="D114" s="265"/>
      <c r="E114" s="265"/>
      <c r="F114" s="265"/>
      <c r="G114" s="265"/>
      <c r="H114" s="265"/>
      <c r="I114" s="265"/>
      <c r="J114" s="265"/>
      <c r="K114" s="266"/>
      <c r="L114" s="42"/>
      <c r="M114" s="42"/>
      <c r="N114" s="42"/>
      <c r="O114" s="42"/>
      <c r="P114" s="42"/>
      <c r="Q114" s="42"/>
      <c r="R114" s="42"/>
      <c r="S114" s="42"/>
      <c r="T114" s="42"/>
      <c r="U114" s="42"/>
      <c r="V114" s="42"/>
      <c r="W114" s="42"/>
      <c r="X114" s="42"/>
      <c r="Y114" s="42"/>
      <c r="Z114" s="42"/>
      <c r="AA114" s="42"/>
      <c r="AB114" s="42"/>
      <c r="AC114" s="42"/>
      <c r="AD114" s="42"/>
      <c r="AE114" s="42"/>
      <c r="AF114" s="42"/>
      <c r="AG114" s="42"/>
      <c r="AH114" s="42"/>
      <c r="AI114" s="42"/>
      <c r="AJ114" s="42"/>
    </row>
    <row r="115" spans="1:36" x14ac:dyDescent="0.2">
      <c r="A115" s="191" t="s">
        <v>65</v>
      </c>
      <c r="B115" s="267" t="s">
        <v>33</v>
      </c>
      <c r="C115" s="220" t="s">
        <v>130</v>
      </c>
      <c r="D115" s="269" t="s">
        <v>222</v>
      </c>
      <c r="E115" s="141">
        <v>2015</v>
      </c>
      <c r="F115" s="141"/>
      <c r="G115" s="141"/>
      <c r="H115" s="141"/>
      <c r="I115" s="141"/>
      <c r="J115" s="141"/>
      <c r="K115" s="271" t="s">
        <v>34</v>
      </c>
    </row>
    <row r="116" spans="1:36" x14ac:dyDescent="0.2">
      <c r="A116" s="191"/>
      <c r="B116" s="268"/>
      <c r="C116" s="221"/>
      <c r="D116" s="270"/>
      <c r="E116" s="141">
        <v>2016</v>
      </c>
      <c r="F116" s="141"/>
      <c r="G116" s="141"/>
      <c r="H116" s="141"/>
      <c r="I116" s="141"/>
      <c r="J116" s="141"/>
      <c r="K116" s="151"/>
    </row>
    <row r="117" spans="1:36" x14ac:dyDescent="0.2">
      <c r="A117" s="191"/>
      <c r="B117" s="268"/>
      <c r="C117" s="221"/>
      <c r="D117" s="270"/>
      <c r="E117" s="141">
        <v>2017</v>
      </c>
      <c r="F117" s="141"/>
      <c r="G117" s="141"/>
      <c r="H117" s="141"/>
      <c r="I117" s="141"/>
      <c r="J117" s="141"/>
      <c r="K117" s="151"/>
    </row>
    <row r="118" spans="1:36" x14ac:dyDescent="0.2">
      <c r="A118" s="191"/>
      <c r="B118" s="268"/>
      <c r="C118" s="221"/>
      <c r="D118" s="270"/>
      <c r="E118" s="141">
        <v>2018</v>
      </c>
      <c r="F118" s="141"/>
      <c r="G118" s="141"/>
      <c r="H118" s="141"/>
      <c r="I118" s="141"/>
      <c r="J118" s="141"/>
      <c r="K118" s="151"/>
    </row>
    <row r="119" spans="1:36" x14ac:dyDescent="0.2">
      <c r="A119" s="191"/>
      <c r="B119" s="268"/>
      <c r="C119" s="221"/>
      <c r="D119" s="270"/>
      <c r="E119" s="141">
        <v>2019</v>
      </c>
      <c r="F119" s="141"/>
      <c r="G119" s="141"/>
      <c r="H119" s="141"/>
      <c r="I119" s="141"/>
      <c r="J119" s="141"/>
      <c r="K119" s="151"/>
    </row>
    <row r="120" spans="1:36" x14ac:dyDescent="0.2">
      <c r="A120" s="191"/>
      <c r="B120" s="268"/>
      <c r="C120" s="221"/>
      <c r="D120" s="270"/>
      <c r="E120" s="141">
        <v>2020</v>
      </c>
      <c r="F120" s="141"/>
      <c r="G120" s="141"/>
      <c r="H120" s="141"/>
      <c r="I120" s="141"/>
      <c r="J120" s="141"/>
      <c r="K120" s="151"/>
    </row>
    <row r="121" spans="1:36" ht="21.75" customHeight="1" x14ac:dyDescent="0.2">
      <c r="A121" s="192"/>
      <c r="B121" s="268"/>
      <c r="C121" s="221"/>
      <c r="D121" s="270"/>
      <c r="E121" s="32" t="s">
        <v>18</v>
      </c>
      <c r="F121" s="148"/>
      <c r="G121" s="148"/>
      <c r="H121" s="148"/>
      <c r="I121" s="148"/>
      <c r="J121" s="148"/>
      <c r="K121" s="155"/>
    </row>
    <row r="122" spans="1:36" ht="18" customHeight="1" x14ac:dyDescent="0.2">
      <c r="A122" s="273" t="s">
        <v>211</v>
      </c>
      <c r="B122" s="274"/>
      <c r="C122" s="274"/>
      <c r="D122" s="274"/>
      <c r="E122" s="275"/>
      <c r="F122" s="276" t="s">
        <v>35</v>
      </c>
      <c r="G122" s="277"/>
      <c r="H122" s="277"/>
      <c r="I122" s="277"/>
      <c r="J122" s="278"/>
      <c r="K122" s="108"/>
    </row>
    <row r="123" spans="1:36" x14ac:dyDescent="0.2">
      <c r="A123" s="181" t="s">
        <v>36</v>
      </c>
      <c r="B123" s="279"/>
      <c r="C123" s="279"/>
      <c r="D123" s="279"/>
      <c r="E123" s="279"/>
      <c r="F123" s="279"/>
      <c r="G123" s="279"/>
      <c r="H123" s="279"/>
      <c r="I123" s="279"/>
      <c r="J123" s="279"/>
      <c r="K123" s="279"/>
    </row>
    <row r="124" spans="1:36" ht="31.5" customHeight="1" x14ac:dyDescent="0.2">
      <c r="A124" s="195" t="s">
        <v>37</v>
      </c>
      <c r="B124" s="203"/>
      <c r="C124" s="203"/>
      <c r="D124" s="203"/>
      <c r="E124" s="203"/>
      <c r="F124" s="203"/>
      <c r="G124" s="203"/>
      <c r="H124" s="203"/>
      <c r="I124" s="203"/>
      <c r="J124" s="203"/>
      <c r="K124" s="203"/>
      <c r="L124" s="135"/>
      <c r="M124" s="135"/>
      <c r="N124" s="135"/>
      <c r="O124" s="135"/>
      <c r="P124" s="135"/>
      <c r="Q124" s="135"/>
      <c r="R124" s="135"/>
      <c r="S124" s="135"/>
      <c r="T124" s="135"/>
      <c r="U124" s="135"/>
      <c r="V124" s="135"/>
      <c r="W124" s="135"/>
      <c r="X124" s="135"/>
      <c r="Y124" s="135"/>
      <c r="Z124" s="135"/>
      <c r="AA124" s="135"/>
      <c r="AB124" s="135"/>
      <c r="AC124" s="135"/>
      <c r="AD124" s="135"/>
      <c r="AE124" s="135"/>
      <c r="AF124" s="135"/>
      <c r="AG124" s="135"/>
      <c r="AH124" s="135"/>
      <c r="AI124" s="135"/>
      <c r="AJ124" s="135"/>
    </row>
    <row r="125" spans="1:36" x14ac:dyDescent="0.2">
      <c r="A125" s="190" t="s">
        <v>95</v>
      </c>
      <c r="B125" s="170" t="s">
        <v>38</v>
      </c>
      <c r="C125" s="283" t="s">
        <v>130</v>
      </c>
      <c r="D125" s="223" t="s">
        <v>222</v>
      </c>
      <c r="E125" s="149">
        <v>2015</v>
      </c>
      <c r="F125" s="149"/>
      <c r="G125" s="149"/>
      <c r="H125" s="149"/>
      <c r="I125" s="149"/>
      <c r="J125" s="149"/>
      <c r="K125" s="154" t="s">
        <v>39</v>
      </c>
    </row>
    <row r="126" spans="1:36" x14ac:dyDescent="0.2">
      <c r="A126" s="191"/>
      <c r="B126" s="203"/>
      <c r="C126" s="221"/>
      <c r="D126" s="224"/>
      <c r="E126" s="141">
        <v>2016</v>
      </c>
      <c r="F126" s="141"/>
      <c r="G126" s="141"/>
      <c r="H126" s="141"/>
      <c r="I126" s="141"/>
      <c r="J126" s="141"/>
      <c r="K126" s="151"/>
    </row>
    <row r="127" spans="1:36" x14ac:dyDescent="0.2">
      <c r="A127" s="191"/>
      <c r="B127" s="203"/>
      <c r="C127" s="221"/>
      <c r="D127" s="224"/>
      <c r="E127" s="141">
        <v>2017</v>
      </c>
      <c r="F127" s="141"/>
      <c r="G127" s="141"/>
      <c r="H127" s="141"/>
      <c r="I127" s="141"/>
      <c r="J127" s="141"/>
      <c r="K127" s="151"/>
    </row>
    <row r="128" spans="1:36" x14ac:dyDescent="0.2">
      <c r="A128" s="191"/>
      <c r="B128" s="203"/>
      <c r="C128" s="221"/>
      <c r="D128" s="224"/>
      <c r="E128" s="141">
        <v>2018</v>
      </c>
      <c r="F128" s="141"/>
      <c r="G128" s="141"/>
      <c r="H128" s="141"/>
      <c r="I128" s="141"/>
      <c r="J128" s="141"/>
      <c r="K128" s="151"/>
    </row>
    <row r="129" spans="1:36" x14ac:dyDescent="0.2">
      <c r="A129" s="191"/>
      <c r="B129" s="203"/>
      <c r="C129" s="221"/>
      <c r="D129" s="224"/>
      <c r="E129" s="141">
        <v>2019</v>
      </c>
      <c r="F129" s="141"/>
      <c r="G129" s="141"/>
      <c r="H129" s="141"/>
      <c r="I129" s="141"/>
      <c r="J129" s="141"/>
      <c r="K129" s="151"/>
    </row>
    <row r="130" spans="1:36" x14ac:dyDescent="0.2">
      <c r="A130" s="191"/>
      <c r="B130" s="203"/>
      <c r="C130" s="221"/>
      <c r="D130" s="224"/>
      <c r="E130" s="141">
        <v>2020</v>
      </c>
      <c r="F130" s="141"/>
      <c r="G130" s="141"/>
      <c r="H130" s="141"/>
      <c r="I130" s="141"/>
      <c r="J130" s="141"/>
      <c r="K130" s="151"/>
    </row>
    <row r="131" spans="1:36" ht="30" customHeight="1" thickBot="1" x14ac:dyDescent="0.25">
      <c r="A131" s="191"/>
      <c r="B131" s="203"/>
      <c r="C131" s="222"/>
      <c r="D131" s="225"/>
      <c r="E131" s="24" t="s">
        <v>18</v>
      </c>
      <c r="F131" s="141"/>
      <c r="G131" s="141"/>
      <c r="H131" s="141"/>
      <c r="I131" s="141"/>
      <c r="J131" s="141"/>
      <c r="K131" s="155"/>
    </row>
    <row r="132" spans="1:36" x14ac:dyDescent="0.2">
      <c r="A132" s="191" t="s">
        <v>68</v>
      </c>
      <c r="B132" s="171" t="s">
        <v>40</v>
      </c>
      <c r="C132" s="220" t="s">
        <v>130</v>
      </c>
      <c r="D132" s="223" t="s">
        <v>222</v>
      </c>
      <c r="E132" s="141">
        <v>2015</v>
      </c>
      <c r="F132" s="141"/>
      <c r="G132" s="141"/>
      <c r="H132" s="141"/>
      <c r="I132" s="141"/>
      <c r="J132" s="141"/>
      <c r="K132" s="154" t="s">
        <v>41</v>
      </c>
    </row>
    <row r="133" spans="1:36" x14ac:dyDescent="0.2">
      <c r="A133" s="191"/>
      <c r="B133" s="203"/>
      <c r="C133" s="221"/>
      <c r="D133" s="224"/>
      <c r="E133" s="141">
        <v>2016</v>
      </c>
      <c r="F133" s="141"/>
      <c r="G133" s="141"/>
      <c r="H133" s="141"/>
      <c r="I133" s="141"/>
      <c r="J133" s="141"/>
      <c r="K133" s="151"/>
    </row>
    <row r="134" spans="1:36" x14ac:dyDescent="0.2">
      <c r="A134" s="191"/>
      <c r="B134" s="203"/>
      <c r="C134" s="221"/>
      <c r="D134" s="224"/>
      <c r="E134" s="141">
        <v>2017</v>
      </c>
      <c r="F134" s="141"/>
      <c r="G134" s="141"/>
      <c r="H134" s="141"/>
      <c r="I134" s="141"/>
      <c r="J134" s="141"/>
      <c r="K134" s="151"/>
    </row>
    <row r="135" spans="1:36" x14ac:dyDescent="0.2">
      <c r="A135" s="191"/>
      <c r="B135" s="203"/>
      <c r="C135" s="221"/>
      <c r="D135" s="224"/>
      <c r="E135" s="141">
        <v>2018</v>
      </c>
      <c r="F135" s="141"/>
      <c r="G135" s="141"/>
      <c r="H135" s="141"/>
      <c r="I135" s="141"/>
      <c r="J135" s="141"/>
      <c r="K135" s="151"/>
    </row>
    <row r="136" spans="1:36" x14ac:dyDescent="0.2">
      <c r="A136" s="191"/>
      <c r="B136" s="203"/>
      <c r="C136" s="221"/>
      <c r="D136" s="224"/>
      <c r="E136" s="141">
        <v>2019</v>
      </c>
      <c r="F136" s="141"/>
      <c r="G136" s="141"/>
      <c r="H136" s="141"/>
      <c r="I136" s="141"/>
      <c r="J136" s="141"/>
      <c r="K136" s="151"/>
    </row>
    <row r="137" spans="1:36" x14ac:dyDescent="0.2">
      <c r="A137" s="191"/>
      <c r="B137" s="203"/>
      <c r="C137" s="221"/>
      <c r="D137" s="224"/>
      <c r="E137" s="141">
        <v>2020</v>
      </c>
      <c r="F137" s="141"/>
      <c r="G137" s="141"/>
      <c r="H137" s="141"/>
      <c r="I137" s="141"/>
      <c r="J137" s="141"/>
      <c r="K137" s="151"/>
    </row>
    <row r="138" spans="1:36" ht="58.5" customHeight="1" x14ac:dyDescent="0.2">
      <c r="A138" s="192"/>
      <c r="B138" s="182"/>
      <c r="C138" s="221"/>
      <c r="D138" s="225"/>
      <c r="E138" s="32" t="s">
        <v>18</v>
      </c>
      <c r="F138" s="148"/>
      <c r="G138" s="148"/>
      <c r="H138" s="148"/>
      <c r="I138" s="148"/>
      <c r="J138" s="148"/>
      <c r="K138" s="155"/>
    </row>
    <row r="139" spans="1:36" ht="32.25" customHeight="1" x14ac:dyDescent="0.2">
      <c r="A139" s="195" t="s">
        <v>42</v>
      </c>
      <c r="B139" s="203"/>
      <c r="C139" s="203"/>
      <c r="D139" s="203"/>
      <c r="E139" s="203"/>
      <c r="F139" s="203"/>
      <c r="G139" s="203"/>
      <c r="H139" s="203"/>
      <c r="I139" s="203"/>
      <c r="J139" s="203"/>
      <c r="K139" s="203"/>
      <c r="L139" s="135"/>
      <c r="M139" s="135"/>
      <c r="N139" s="135"/>
      <c r="O139" s="135"/>
      <c r="P139" s="135"/>
      <c r="Q139" s="135"/>
      <c r="R139" s="135"/>
      <c r="S139" s="135"/>
      <c r="T139" s="135"/>
      <c r="U139" s="135"/>
      <c r="V139" s="135"/>
      <c r="W139" s="135"/>
      <c r="X139" s="135"/>
      <c r="Y139" s="135"/>
      <c r="Z139" s="135"/>
      <c r="AA139" s="135"/>
      <c r="AB139" s="135"/>
      <c r="AC139" s="135"/>
      <c r="AD139" s="135"/>
      <c r="AE139" s="135"/>
      <c r="AF139" s="135"/>
      <c r="AG139" s="135"/>
      <c r="AH139" s="135"/>
      <c r="AI139" s="135"/>
      <c r="AJ139" s="135"/>
    </row>
    <row r="140" spans="1:36" ht="15.75" thickBot="1" x14ac:dyDescent="0.3">
      <c r="A140" s="195" t="s">
        <v>134</v>
      </c>
      <c r="B140" s="284"/>
      <c r="C140" s="284"/>
      <c r="D140" s="284"/>
      <c r="E140" s="284"/>
      <c r="F140" s="284"/>
      <c r="G140" s="284"/>
      <c r="H140" s="284"/>
      <c r="I140" s="284"/>
      <c r="J140" s="284"/>
      <c r="K140" s="284"/>
      <c r="L140" s="33"/>
      <c r="M140" s="33"/>
      <c r="N140" s="33"/>
      <c r="O140" s="33"/>
      <c r="P140" s="33"/>
      <c r="Q140" s="33"/>
      <c r="R140" s="33"/>
      <c r="S140" s="33"/>
      <c r="T140" s="33"/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F140" s="33"/>
      <c r="AG140" s="33"/>
      <c r="AH140" s="33"/>
      <c r="AI140" s="33"/>
      <c r="AJ140" s="33"/>
    </row>
    <row r="141" spans="1:36" x14ac:dyDescent="0.2">
      <c r="A141" s="197" t="s">
        <v>327</v>
      </c>
      <c r="B141" s="218" t="s">
        <v>44</v>
      </c>
      <c r="C141" s="220" t="s">
        <v>130</v>
      </c>
      <c r="D141" s="223" t="s">
        <v>222</v>
      </c>
      <c r="E141" s="141">
        <v>2015</v>
      </c>
      <c r="F141" s="14">
        <f t="shared" ref="F141:F146" si="7">SUM(G141:J141)</f>
        <v>289323.7</v>
      </c>
      <c r="G141" s="14"/>
      <c r="H141" s="14">
        <f>313444.2-24120.5</f>
        <v>289323.7</v>
      </c>
      <c r="I141" s="14"/>
      <c r="J141" s="14"/>
      <c r="K141" s="154" t="s">
        <v>45</v>
      </c>
    </row>
    <row r="142" spans="1:36" x14ac:dyDescent="0.2">
      <c r="A142" s="197"/>
      <c r="B142" s="219"/>
      <c r="C142" s="221"/>
      <c r="D142" s="224"/>
      <c r="E142" s="141">
        <v>2016</v>
      </c>
      <c r="F142" s="14">
        <f t="shared" si="7"/>
        <v>292770.7</v>
      </c>
      <c r="G142" s="14"/>
      <c r="H142" s="14">
        <f>321212.7-28442</f>
        <v>292770.7</v>
      </c>
      <c r="I142" s="14"/>
      <c r="J142" s="14"/>
      <c r="K142" s="151"/>
      <c r="M142" s="124" t="s">
        <v>258</v>
      </c>
    </row>
    <row r="143" spans="1:36" x14ac:dyDescent="0.2">
      <c r="A143" s="197"/>
      <c r="B143" s="219"/>
      <c r="C143" s="221"/>
      <c r="D143" s="224"/>
      <c r="E143" s="141">
        <v>2017</v>
      </c>
      <c r="F143" s="14">
        <f t="shared" si="7"/>
        <v>298171.69999999995</v>
      </c>
      <c r="G143" s="14"/>
      <c r="H143" s="14">
        <f>407056.8-115754.1+6869</f>
        <v>298171.69999999995</v>
      </c>
      <c r="I143" s="14"/>
      <c r="J143" s="14"/>
      <c r="K143" s="151"/>
      <c r="L143" s="124" t="s">
        <v>256</v>
      </c>
      <c r="M143" s="131"/>
    </row>
    <row r="144" spans="1:36" x14ac:dyDescent="0.2">
      <c r="A144" s="197"/>
      <c r="B144" s="219"/>
      <c r="C144" s="221"/>
      <c r="D144" s="224"/>
      <c r="E144" s="141">
        <v>2018</v>
      </c>
      <c r="F144" s="14">
        <f t="shared" si="7"/>
        <v>258136.49999999997</v>
      </c>
      <c r="G144" s="14"/>
      <c r="H144" s="14">
        <f>291795.6-33659.1</f>
        <v>258136.49999999997</v>
      </c>
      <c r="I144" s="14"/>
      <c r="J144" s="14"/>
      <c r="K144" s="151"/>
      <c r="L144" s="124" t="s">
        <v>256</v>
      </c>
      <c r="M144" s="131"/>
    </row>
    <row r="145" spans="1:13" x14ac:dyDescent="0.2">
      <c r="A145" s="197"/>
      <c r="B145" s="219"/>
      <c r="C145" s="221"/>
      <c r="D145" s="224"/>
      <c r="E145" s="141">
        <v>2019</v>
      </c>
      <c r="F145" s="14">
        <f t="shared" si="7"/>
        <v>258169.50000000003</v>
      </c>
      <c r="G145" s="14"/>
      <c r="H145" s="14">
        <f>306971.4-48801.9</f>
        <v>258169.50000000003</v>
      </c>
      <c r="I145" s="14"/>
      <c r="J145" s="14"/>
      <c r="K145" s="151"/>
      <c r="L145" s="124" t="s">
        <v>256</v>
      </c>
      <c r="M145" s="131"/>
    </row>
    <row r="146" spans="1:13" x14ac:dyDescent="0.2">
      <c r="A146" s="197"/>
      <c r="B146" s="219"/>
      <c r="C146" s="221"/>
      <c r="D146" s="224"/>
      <c r="E146" s="141">
        <v>2020</v>
      </c>
      <c r="F146" s="14">
        <f t="shared" si="7"/>
        <v>324467.09999999998</v>
      </c>
      <c r="G146" s="14"/>
      <c r="H146" s="14">
        <v>324467.09999999998</v>
      </c>
      <c r="I146" s="14"/>
      <c r="J146" s="14"/>
      <c r="K146" s="151"/>
    </row>
    <row r="147" spans="1:13" ht="26.25" customHeight="1" x14ac:dyDescent="0.2">
      <c r="A147" s="197"/>
      <c r="B147" s="219"/>
      <c r="C147" s="221"/>
      <c r="D147" s="225"/>
      <c r="E147" s="24" t="s">
        <v>18</v>
      </c>
      <c r="F147" s="13">
        <f>SUM(F141:F146)</f>
        <v>1721039.1999999997</v>
      </c>
      <c r="G147" s="13"/>
      <c r="H147" s="13">
        <f>SUM(H141:H146)</f>
        <v>1721039.1999999997</v>
      </c>
      <c r="I147" s="13"/>
      <c r="J147" s="13"/>
      <c r="K147" s="151"/>
    </row>
    <row r="148" spans="1:13" x14ac:dyDescent="0.2">
      <c r="A148" s="197" t="s">
        <v>46</v>
      </c>
      <c r="B148" s="218" t="s">
        <v>47</v>
      </c>
      <c r="C148" s="177" t="s">
        <v>130</v>
      </c>
      <c r="D148" s="280" t="s">
        <v>222</v>
      </c>
      <c r="E148" s="141">
        <v>2015</v>
      </c>
      <c r="F148" s="14">
        <f t="shared" ref="F148:F153" si="8">SUM(G148:J148)</f>
        <v>51438.500000000007</v>
      </c>
      <c r="G148" s="14"/>
      <c r="H148" s="14"/>
      <c r="I148" s="14">
        <f>54650+6257.8-2384.6-2000-2408.2-401.3-516.2-1759</f>
        <v>51438.500000000007</v>
      </c>
      <c r="J148" s="14"/>
      <c r="K148" s="151"/>
    </row>
    <row r="149" spans="1:13" x14ac:dyDescent="0.2">
      <c r="A149" s="197"/>
      <c r="B149" s="219"/>
      <c r="C149" s="178"/>
      <c r="D149" s="281"/>
      <c r="E149" s="141">
        <v>2016</v>
      </c>
      <c r="F149" s="14">
        <f t="shared" si="8"/>
        <v>51482.5</v>
      </c>
      <c r="G149" s="14"/>
      <c r="H149" s="14"/>
      <c r="I149" s="14">
        <f>57382.5-5400-500</f>
        <v>51482.5</v>
      </c>
      <c r="J149" s="14"/>
      <c r="K149" s="151"/>
    </row>
    <row r="150" spans="1:13" x14ac:dyDescent="0.2">
      <c r="A150" s="197"/>
      <c r="B150" s="219"/>
      <c r="C150" s="178"/>
      <c r="D150" s="281"/>
      <c r="E150" s="141">
        <v>2017</v>
      </c>
      <c r="F150" s="14">
        <f t="shared" si="8"/>
        <v>48417.9</v>
      </c>
      <c r="G150" s="14"/>
      <c r="H150" s="14"/>
      <c r="I150" s="14">
        <f>57382.5-8964.6</f>
        <v>48417.9</v>
      </c>
      <c r="J150" s="14"/>
      <c r="K150" s="151"/>
      <c r="L150" s="124" t="s">
        <v>256</v>
      </c>
      <c r="M150" s="131"/>
    </row>
    <row r="151" spans="1:13" x14ac:dyDescent="0.2">
      <c r="A151" s="197"/>
      <c r="B151" s="219"/>
      <c r="C151" s="178"/>
      <c r="D151" s="281"/>
      <c r="E151" s="141">
        <v>2018</v>
      </c>
      <c r="F151" s="14">
        <f t="shared" si="8"/>
        <v>53382.5</v>
      </c>
      <c r="G151" s="14"/>
      <c r="H151" s="14"/>
      <c r="I151" s="14">
        <f>61079.4-7696.9</f>
        <v>53382.5</v>
      </c>
      <c r="J151" s="14"/>
      <c r="K151" s="151"/>
      <c r="L151" s="124" t="s">
        <v>256</v>
      </c>
      <c r="M151" s="131"/>
    </row>
    <row r="152" spans="1:13" x14ac:dyDescent="0.2">
      <c r="A152" s="197"/>
      <c r="B152" s="219"/>
      <c r="C152" s="178"/>
      <c r="D152" s="281"/>
      <c r="E152" s="141">
        <v>2019</v>
      </c>
      <c r="F152" s="14">
        <f t="shared" si="8"/>
        <v>53382.5</v>
      </c>
      <c r="G152" s="14"/>
      <c r="H152" s="14"/>
      <c r="I152" s="14">
        <f>64255.5-10873</f>
        <v>53382.5</v>
      </c>
      <c r="J152" s="14"/>
      <c r="K152" s="151"/>
      <c r="L152" s="124" t="s">
        <v>256</v>
      </c>
      <c r="M152" s="131"/>
    </row>
    <row r="153" spans="1:13" x14ac:dyDescent="0.2">
      <c r="A153" s="197"/>
      <c r="B153" s="219"/>
      <c r="C153" s="178"/>
      <c r="D153" s="281"/>
      <c r="E153" s="141">
        <v>2020</v>
      </c>
      <c r="F153" s="14">
        <f t="shared" si="8"/>
        <v>67918.100000000006</v>
      </c>
      <c r="G153" s="14"/>
      <c r="H153" s="14"/>
      <c r="I153" s="14">
        <v>67918.100000000006</v>
      </c>
      <c r="J153" s="14"/>
      <c r="K153" s="151"/>
    </row>
    <row r="154" spans="1:13" ht="47.25" customHeight="1" x14ac:dyDescent="0.2">
      <c r="A154" s="197"/>
      <c r="B154" s="219"/>
      <c r="C154" s="178"/>
      <c r="D154" s="282"/>
      <c r="E154" s="24" t="s">
        <v>18</v>
      </c>
      <c r="F154" s="13">
        <f>SUM(F148:F153)</f>
        <v>326022</v>
      </c>
      <c r="G154" s="13"/>
      <c r="H154" s="13"/>
      <c r="I154" s="13">
        <f>SUM(I148:I153)</f>
        <v>326022</v>
      </c>
      <c r="J154" s="13"/>
      <c r="K154" s="155"/>
    </row>
    <row r="155" spans="1:13" x14ac:dyDescent="0.2">
      <c r="A155" s="191" t="s">
        <v>48</v>
      </c>
      <c r="B155" s="218" t="s">
        <v>49</v>
      </c>
      <c r="C155" s="296" t="s">
        <v>130</v>
      </c>
      <c r="D155" s="223" t="s">
        <v>222</v>
      </c>
      <c r="E155" s="141">
        <v>2015</v>
      </c>
      <c r="F155" s="2"/>
      <c r="G155" s="2"/>
      <c r="H155" s="2"/>
      <c r="I155" s="2"/>
      <c r="J155" s="2"/>
      <c r="K155" s="154" t="s">
        <v>50</v>
      </c>
    </row>
    <row r="156" spans="1:13" x14ac:dyDescent="0.2">
      <c r="A156" s="191"/>
      <c r="B156" s="219"/>
      <c r="C156" s="221"/>
      <c r="D156" s="224"/>
      <c r="E156" s="141">
        <v>2016</v>
      </c>
      <c r="F156" s="2"/>
      <c r="G156" s="2"/>
      <c r="H156" s="2"/>
      <c r="I156" s="2"/>
      <c r="J156" s="2"/>
      <c r="K156" s="151"/>
    </row>
    <row r="157" spans="1:13" x14ac:dyDescent="0.2">
      <c r="A157" s="191"/>
      <c r="B157" s="219"/>
      <c r="C157" s="221"/>
      <c r="D157" s="224"/>
      <c r="E157" s="141">
        <v>2017</v>
      </c>
      <c r="F157" s="2"/>
      <c r="G157" s="2"/>
      <c r="H157" s="2"/>
      <c r="I157" s="2"/>
      <c r="J157" s="2"/>
      <c r="K157" s="151"/>
    </row>
    <row r="158" spans="1:13" x14ac:dyDescent="0.2">
      <c r="A158" s="191"/>
      <c r="B158" s="219"/>
      <c r="C158" s="221"/>
      <c r="D158" s="224"/>
      <c r="E158" s="141">
        <v>2018</v>
      </c>
      <c r="F158" s="2"/>
      <c r="G158" s="2"/>
      <c r="H158" s="2"/>
      <c r="I158" s="2"/>
      <c r="J158" s="2"/>
      <c r="K158" s="151"/>
    </row>
    <row r="159" spans="1:13" x14ac:dyDescent="0.2">
      <c r="A159" s="191"/>
      <c r="B159" s="219"/>
      <c r="C159" s="221"/>
      <c r="D159" s="224"/>
      <c r="E159" s="141">
        <v>2019</v>
      </c>
      <c r="F159" s="2"/>
      <c r="G159" s="2"/>
      <c r="H159" s="2"/>
      <c r="I159" s="2"/>
      <c r="J159" s="2"/>
      <c r="K159" s="151"/>
    </row>
    <row r="160" spans="1:13" x14ac:dyDescent="0.2">
      <c r="A160" s="191"/>
      <c r="B160" s="219"/>
      <c r="C160" s="221"/>
      <c r="D160" s="224"/>
      <c r="E160" s="141">
        <v>2020</v>
      </c>
      <c r="F160" s="2"/>
      <c r="G160" s="2"/>
      <c r="H160" s="2"/>
      <c r="I160" s="2"/>
      <c r="J160" s="2"/>
      <c r="K160" s="151"/>
    </row>
    <row r="161" spans="1:11" ht="92.25" customHeight="1" x14ac:dyDescent="0.2">
      <c r="A161" s="191"/>
      <c r="B161" s="219"/>
      <c r="C161" s="297"/>
      <c r="D161" s="225"/>
      <c r="E161" s="24" t="s">
        <v>18</v>
      </c>
      <c r="F161" s="2"/>
      <c r="G161" s="2"/>
      <c r="H161" s="2"/>
      <c r="I161" s="2"/>
      <c r="J161" s="2"/>
      <c r="K161" s="155"/>
    </row>
    <row r="162" spans="1:11" x14ac:dyDescent="0.2">
      <c r="A162" s="190" t="s">
        <v>328</v>
      </c>
      <c r="B162" s="294" t="s">
        <v>240</v>
      </c>
      <c r="C162" s="283" t="s">
        <v>130</v>
      </c>
      <c r="D162" s="224" t="s">
        <v>222</v>
      </c>
      <c r="E162" s="149">
        <v>2015</v>
      </c>
      <c r="F162" s="1"/>
      <c r="G162" s="1"/>
      <c r="H162" s="1"/>
      <c r="I162" s="1"/>
      <c r="J162" s="1"/>
      <c r="K162" s="151" t="s">
        <v>51</v>
      </c>
    </row>
    <row r="163" spans="1:11" x14ac:dyDescent="0.2">
      <c r="A163" s="191"/>
      <c r="B163" s="294"/>
      <c r="C163" s="221"/>
      <c r="D163" s="224"/>
      <c r="E163" s="141">
        <v>2016</v>
      </c>
      <c r="F163" s="2"/>
      <c r="G163" s="2"/>
      <c r="H163" s="2"/>
      <c r="I163" s="2"/>
      <c r="J163" s="2"/>
      <c r="K163" s="151"/>
    </row>
    <row r="164" spans="1:11" x14ac:dyDescent="0.2">
      <c r="A164" s="191"/>
      <c r="B164" s="294"/>
      <c r="C164" s="221"/>
      <c r="D164" s="224"/>
      <c r="E164" s="141">
        <v>2017</v>
      </c>
      <c r="F164" s="2"/>
      <c r="G164" s="2"/>
      <c r="H164" s="2"/>
      <c r="I164" s="2"/>
      <c r="J164" s="2"/>
      <c r="K164" s="151"/>
    </row>
    <row r="165" spans="1:11" x14ac:dyDescent="0.2">
      <c r="A165" s="191"/>
      <c r="B165" s="294"/>
      <c r="C165" s="221"/>
      <c r="D165" s="224"/>
      <c r="E165" s="141">
        <v>2018</v>
      </c>
      <c r="F165" s="2"/>
      <c r="G165" s="2"/>
      <c r="H165" s="2"/>
      <c r="I165" s="2"/>
      <c r="J165" s="2"/>
      <c r="K165" s="151"/>
    </row>
    <row r="166" spans="1:11" x14ac:dyDescent="0.2">
      <c r="A166" s="191"/>
      <c r="B166" s="294"/>
      <c r="C166" s="221"/>
      <c r="D166" s="224"/>
      <c r="E166" s="141">
        <v>2019</v>
      </c>
      <c r="F166" s="2"/>
      <c r="G166" s="2"/>
      <c r="H166" s="2"/>
      <c r="I166" s="2"/>
      <c r="J166" s="2"/>
      <c r="K166" s="151"/>
    </row>
    <row r="167" spans="1:11" x14ac:dyDescent="0.2">
      <c r="A167" s="191"/>
      <c r="B167" s="294"/>
      <c r="C167" s="221"/>
      <c r="D167" s="224"/>
      <c r="E167" s="141">
        <v>2020</v>
      </c>
      <c r="F167" s="2"/>
      <c r="G167" s="2"/>
      <c r="H167" s="2"/>
      <c r="I167" s="2"/>
      <c r="J167" s="2"/>
      <c r="K167" s="151"/>
    </row>
    <row r="168" spans="1:11" ht="77.25" customHeight="1" thickBot="1" x14ac:dyDescent="0.25">
      <c r="A168" s="191"/>
      <c r="B168" s="295"/>
      <c r="C168" s="221"/>
      <c r="D168" s="225"/>
      <c r="E168" s="24" t="s">
        <v>18</v>
      </c>
      <c r="F168" s="2"/>
      <c r="G168" s="2"/>
      <c r="H168" s="2"/>
      <c r="I168" s="2"/>
      <c r="J168" s="2"/>
      <c r="K168" s="155"/>
    </row>
    <row r="169" spans="1:11" x14ac:dyDescent="0.2">
      <c r="A169" s="191" t="s">
        <v>329</v>
      </c>
      <c r="B169" s="215" t="s">
        <v>52</v>
      </c>
      <c r="C169" s="220" t="s">
        <v>130</v>
      </c>
      <c r="D169" s="223" t="s">
        <v>222</v>
      </c>
      <c r="E169" s="141">
        <v>2015</v>
      </c>
      <c r="F169" s="285" t="s">
        <v>53</v>
      </c>
      <c r="G169" s="286"/>
      <c r="H169" s="286"/>
      <c r="I169" s="286"/>
      <c r="J169" s="287"/>
      <c r="K169" s="154" t="s">
        <v>54</v>
      </c>
    </row>
    <row r="170" spans="1:11" x14ac:dyDescent="0.2">
      <c r="A170" s="191"/>
      <c r="B170" s="216"/>
      <c r="C170" s="221"/>
      <c r="D170" s="224"/>
      <c r="E170" s="141">
        <v>2016</v>
      </c>
      <c r="F170" s="288"/>
      <c r="G170" s="289"/>
      <c r="H170" s="289"/>
      <c r="I170" s="289"/>
      <c r="J170" s="290"/>
      <c r="K170" s="151"/>
    </row>
    <row r="171" spans="1:11" x14ac:dyDescent="0.2">
      <c r="A171" s="191"/>
      <c r="B171" s="216"/>
      <c r="C171" s="221"/>
      <c r="D171" s="224"/>
      <c r="E171" s="141">
        <v>2017</v>
      </c>
      <c r="F171" s="288"/>
      <c r="G171" s="289"/>
      <c r="H171" s="289"/>
      <c r="I171" s="289"/>
      <c r="J171" s="290"/>
      <c r="K171" s="151"/>
    </row>
    <row r="172" spans="1:11" x14ac:dyDescent="0.2">
      <c r="A172" s="191"/>
      <c r="B172" s="216"/>
      <c r="C172" s="221"/>
      <c r="D172" s="224"/>
      <c r="E172" s="141">
        <v>2018</v>
      </c>
      <c r="F172" s="288"/>
      <c r="G172" s="289"/>
      <c r="H172" s="289"/>
      <c r="I172" s="289"/>
      <c r="J172" s="290"/>
      <c r="K172" s="151"/>
    </row>
    <row r="173" spans="1:11" x14ac:dyDescent="0.2">
      <c r="A173" s="191"/>
      <c r="B173" s="216"/>
      <c r="C173" s="221"/>
      <c r="D173" s="224"/>
      <c r="E173" s="141">
        <v>2019</v>
      </c>
      <c r="F173" s="288"/>
      <c r="G173" s="289"/>
      <c r="H173" s="289"/>
      <c r="I173" s="289"/>
      <c r="J173" s="290"/>
      <c r="K173" s="151"/>
    </row>
    <row r="174" spans="1:11" x14ac:dyDescent="0.2">
      <c r="A174" s="191"/>
      <c r="B174" s="216"/>
      <c r="C174" s="221"/>
      <c r="D174" s="224"/>
      <c r="E174" s="141">
        <v>2020</v>
      </c>
      <c r="F174" s="288"/>
      <c r="G174" s="289"/>
      <c r="H174" s="289"/>
      <c r="I174" s="289"/>
      <c r="J174" s="290"/>
      <c r="K174" s="151"/>
    </row>
    <row r="175" spans="1:11" ht="15.75" customHeight="1" thickBot="1" x14ac:dyDescent="0.25">
      <c r="A175" s="191"/>
      <c r="B175" s="217"/>
      <c r="C175" s="221"/>
      <c r="D175" s="225"/>
      <c r="E175" s="24" t="s">
        <v>18</v>
      </c>
      <c r="F175" s="291"/>
      <c r="G175" s="292"/>
      <c r="H175" s="292"/>
      <c r="I175" s="292"/>
      <c r="J175" s="293"/>
      <c r="K175" s="151"/>
    </row>
    <row r="176" spans="1:11" x14ac:dyDescent="0.2">
      <c r="A176" s="191" t="s">
        <v>330</v>
      </c>
      <c r="B176" s="218" t="s">
        <v>55</v>
      </c>
      <c r="C176" s="220" t="s">
        <v>130</v>
      </c>
      <c r="D176" s="223" t="s">
        <v>222</v>
      </c>
      <c r="E176" s="141">
        <v>2015</v>
      </c>
      <c r="F176" s="298" t="s">
        <v>56</v>
      </c>
      <c r="G176" s="299"/>
      <c r="H176" s="299"/>
      <c r="I176" s="299"/>
      <c r="J176" s="300"/>
      <c r="K176" s="167"/>
    </row>
    <row r="177" spans="1:32" x14ac:dyDescent="0.2">
      <c r="A177" s="191"/>
      <c r="B177" s="218"/>
      <c r="C177" s="221"/>
      <c r="D177" s="224"/>
      <c r="E177" s="141">
        <v>2016</v>
      </c>
      <c r="F177" s="301"/>
      <c r="G177" s="302"/>
      <c r="H177" s="302"/>
      <c r="I177" s="302"/>
      <c r="J177" s="303"/>
      <c r="K177" s="167"/>
    </row>
    <row r="178" spans="1:32" x14ac:dyDescent="0.2">
      <c r="A178" s="191"/>
      <c r="B178" s="218"/>
      <c r="C178" s="221"/>
      <c r="D178" s="224"/>
      <c r="E178" s="141">
        <v>2017</v>
      </c>
      <c r="F178" s="301"/>
      <c r="G178" s="302"/>
      <c r="H178" s="302"/>
      <c r="I178" s="302"/>
      <c r="J178" s="303"/>
      <c r="K178" s="167"/>
    </row>
    <row r="179" spans="1:32" x14ac:dyDescent="0.2">
      <c r="A179" s="191"/>
      <c r="B179" s="218"/>
      <c r="C179" s="221"/>
      <c r="D179" s="224"/>
      <c r="E179" s="141">
        <v>2018</v>
      </c>
      <c r="F179" s="301"/>
      <c r="G179" s="302"/>
      <c r="H179" s="302"/>
      <c r="I179" s="302"/>
      <c r="J179" s="303"/>
      <c r="K179" s="167"/>
    </row>
    <row r="180" spans="1:32" x14ac:dyDescent="0.2">
      <c r="A180" s="191"/>
      <c r="B180" s="218"/>
      <c r="C180" s="221"/>
      <c r="D180" s="224"/>
      <c r="E180" s="141">
        <v>2019</v>
      </c>
      <c r="F180" s="301"/>
      <c r="G180" s="302"/>
      <c r="H180" s="302"/>
      <c r="I180" s="302"/>
      <c r="J180" s="303"/>
      <c r="K180" s="167"/>
    </row>
    <row r="181" spans="1:32" x14ac:dyDescent="0.2">
      <c r="A181" s="191"/>
      <c r="B181" s="218"/>
      <c r="C181" s="221"/>
      <c r="D181" s="224"/>
      <c r="E181" s="141">
        <v>2020</v>
      </c>
      <c r="F181" s="304"/>
      <c r="G181" s="305"/>
      <c r="H181" s="305"/>
      <c r="I181" s="305"/>
      <c r="J181" s="306"/>
      <c r="K181" s="167"/>
    </row>
    <row r="182" spans="1:32" x14ac:dyDescent="0.2">
      <c r="A182" s="191"/>
      <c r="B182" s="218"/>
      <c r="C182" s="221"/>
      <c r="D182" s="225"/>
      <c r="E182" s="32" t="s">
        <v>18</v>
      </c>
      <c r="F182" s="148"/>
      <c r="G182" s="148"/>
      <c r="H182" s="148"/>
      <c r="I182" s="148"/>
      <c r="J182" s="148"/>
      <c r="K182" s="180"/>
    </row>
    <row r="183" spans="1:32" ht="14.25" customHeight="1" x14ac:dyDescent="0.2">
      <c r="A183" s="255" t="s">
        <v>331</v>
      </c>
      <c r="B183" s="215" t="s">
        <v>132</v>
      </c>
      <c r="C183" s="194" t="s">
        <v>130</v>
      </c>
      <c r="D183" s="154" t="s">
        <v>222</v>
      </c>
      <c r="E183" s="141">
        <v>2016</v>
      </c>
      <c r="F183" s="14">
        <f>SUM(G183:J183)</f>
        <v>12886.900000000001</v>
      </c>
      <c r="G183" s="28"/>
      <c r="H183" s="28">
        <f>13077.7-190.8</f>
        <v>12886.900000000001</v>
      </c>
      <c r="I183" s="28"/>
      <c r="J183" s="28"/>
      <c r="K183" s="154" t="s">
        <v>144</v>
      </c>
    </row>
    <row r="184" spans="1:32" ht="14.25" customHeight="1" x14ac:dyDescent="0.2">
      <c r="A184" s="256"/>
      <c r="B184" s="311"/>
      <c r="C184" s="166"/>
      <c r="D184" s="151"/>
      <c r="E184" s="141">
        <v>2017</v>
      </c>
      <c r="F184" s="14">
        <f t="shared" ref="F184:F185" si="9">SUM(G184:J184)</f>
        <v>12995.9</v>
      </c>
      <c r="G184" s="28"/>
      <c r="H184" s="28">
        <v>12995.9</v>
      </c>
      <c r="I184" s="28"/>
      <c r="J184" s="28"/>
      <c r="K184" s="151"/>
      <c r="L184" s="4" t="s">
        <v>255</v>
      </c>
    </row>
    <row r="185" spans="1:32" ht="15" customHeight="1" x14ac:dyDescent="0.2">
      <c r="A185" s="256"/>
      <c r="B185" s="311"/>
      <c r="C185" s="166"/>
      <c r="D185" s="151"/>
      <c r="E185" s="141">
        <v>2018</v>
      </c>
      <c r="F185" s="14">
        <f t="shared" si="9"/>
        <v>12995.9</v>
      </c>
      <c r="G185" s="28"/>
      <c r="H185" s="28">
        <v>12995.9</v>
      </c>
      <c r="I185" s="28"/>
      <c r="J185" s="28"/>
      <c r="K185" s="151"/>
      <c r="L185" s="4" t="s">
        <v>255</v>
      </c>
    </row>
    <row r="186" spans="1:32" ht="13.5" customHeight="1" x14ac:dyDescent="0.2">
      <c r="A186" s="256"/>
      <c r="B186" s="311"/>
      <c r="C186" s="166"/>
      <c r="D186" s="151"/>
      <c r="E186" s="141">
        <v>2019</v>
      </c>
      <c r="F186" s="14">
        <f t="shared" ref="F186" si="10">SUM(G186:J186)</f>
        <v>12995.9</v>
      </c>
      <c r="G186" s="28"/>
      <c r="H186" s="28">
        <v>12995.9</v>
      </c>
      <c r="I186" s="28"/>
      <c r="J186" s="28"/>
      <c r="K186" s="151"/>
      <c r="L186" s="124" t="s">
        <v>255</v>
      </c>
    </row>
    <row r="187" spans="1:32" ht="16.5" customHeight="1" x14ac:dyDescent="0.2">
      <c r="A187" s="256"/>
      <c r="B187" s="311"/>
      <c r="C187" s="166"/>
      <c r="D187" s="151"/>
      <c r="E187" s="141">
        <v>2020</v>
      </c>
      <c r="F187" s="28"/>
      <c r="G187" s="28"/>
      <c r="H187" s="28"/>
      <c r="I187" s="28"/>
      <c r="J187" s="28"/>
      <c r="K187" s="151"/>
    </row>
    <row r="188" spans="1:32" ht="16.5" customHeight="1" x14ac:dyDescent="0.2">
      <c r="A188" s="257"/>
      <c r="B188" s="312"/>
      <c r="C188" s="207"/>
      <c r="D188" s="155"/>
      <c r="E188" s="24" t="s">
        <v>18</v>
      </c>
      <c r="F188" s="28">
        <f>F183+F184+F185+F186+F187</f>
        <v>51874.600000000006</v>
      </c>
      <c r="G188" s="28"/>
      <c r="H188" s="28">
        <f>H183+H184+H185+H186+H187</f>
        <v>51874.600000000006</v>
      </c>
      <c r="I188" s="28"/>
      <c r="J188" s="28"/>
      <c r="K188" s="155"/>
    </row>
    <row r="189" spans="1:32" ht="23.25" customHeight="1" x14ac:dyDescent="0.2">
      <c r="A189" s="313" t="s">
        <v>199</v>
      </c>
      <c r="B189" s="314"/>
      <c r="C189" s="314"/>
      <c r="D189" s="315"/>
      <c r="E189" s="137"/>
      <c r="F189" s="98">
        <f>F182+F168+F161+F147+F154+F188</f>
        <v>2098935.7999999998</v>
      </c>
      <c r="G189" s="98">
        <f>G182+G168+G161+G147+G154+G188</f>
        <v>0</v>
      </c>
      <c r="H189" s="98">
        <f>H182+H168+H161+H147+H154+H188</f>
        <v>1772913.7999999998</v>
      </c>
      <c r="I189" s="98">
        <f>I182+I168+I161+I147+I154+I188</f>
        <v>326022</v>
      </c>
      <c r="J189" s="19"/>
      <c r="K189" s="43"/>
    </row>
    <row r="190" spans="1:32" ht="25.5" customHeight="1" thickBot="1" x14ac:dyDescent="0.25">
      <c r="A190" s="307" t="s">
        <v>204</v>
      </c>
      <c r="B190" s="219"/>
      <c r="C190" s="219"/>
      <c r="D190" s="219"/>
      <c r="E190" s="108"/>
      <c r="F190" s="109">
        <f>SUM(G190:I190)</f>
        <v>2401644</v>
      </c>
      <c r="G190" s="109">
        <f>G189+G122+G112</f>
        <v>0</v>
      </c>
      <c r="H190" s="109">
        <f>H189+H112</f>
        <v>1938891.7999999998</v>
      </c>
      <c r="I190" s="109">
        <f>I189+I112</f>
        <v>462752.19999999995</v>
      </c>
      <c r="J190" s="110"/>
      <c r="K190" s="108"/>
    </row>
    <row r="191" spans="1:32" ht="23.25" customHeight="1" x14ac:dyDescent="0.2">
      <c r="A191" s="308" t="s">
        <v>192</v>
      </c>
      <c r="B191" s="309"/>
      <c r="C191" s="309"/>
      <c r="D191" s="309"/>
      <c r="E191" s="309"/>
      <c r="F191" s="309"/>
      <c r="G191" s="309"/>
      <c r="H191" s="309"/>
      <c r="I191" s="309"/>
      <c r="J191" s="309"/>
      <c r="K191" s="309"/>
      <c r="L191" s="45"/>
      <c r="M191" s="45"/>
      <c r="N191" s="45"/>
      <c r="O191" s="45"/>
      <c r="P191" s="45"/>
      <c r="Q191" s="45"/>
      <c r="R191" s="45"/>
      <c r="S191" s="45"/>
      <c r="T191" s="45"/>
      <c r="U191" s="45"/>
      <c r="V191" s="45"/>
      <c r="W191" s="45"/>
      <c r="X191" s="45"/>
      <c r="Y191" s="45"/>
      <c r="Z191" s="45"/>
      <c r="AA191" s="45"/>
      <c r="AB191" s="45"/>
      <c r="AC191" s="45"/>
      <c r="AD191" s="45"/>
      <c r="AE191" s="45"/>
      <c r="AF191" s="46"/>
    </row>
    <row r="192" spans="1:32" ht="16.5" thickBot="1" x14ac:dyDescent="0.25">
      <c r="A192" s="245" t="s">
        <v>191</v>
      </c>
      <c r="B192" s="310"/>
      <c r="C192" s="310"/>
      <c r="D192" s="310"/>
      <c r="E192" s="310"/>
      <c r="F192" s="310"/>
      <c r="G192" s="310"/>
      <c r="H192" s="310"/>
      <c r="I192" s="310"/>
      <c r="J192" s="310"/>
      <c r="K192" s="310"/>
      <c r="L192" s="47"/>
      <c r="M192" s="47"/>
      <c r="N192" s="47"/>
      <c r="O192" s="47"/>
      <c r="P192" s="47"/>
      <c r="Q192" s="47"/>
      <c r="R192" s="47"/>
      <c r="S192" s="47"/>
      <c r="T192" s="47"/>
      <c r="U192" s="47"/>
      <c r="V192" s="47"/>
      <c r="W192" s="47"/>
      <c r="X192" s="47"/>
      <c r="Y192" s="47"/>
      <c r="Z192" s="47"/>
      <c r="AA192" s="47"/>
      <c r="AB192" s="47"/>
      <c r="AC192" s="47"/>
      <c r="AD192" s="47"/>
      <c r="AE192" s="47"/>
      <c r="AF192" s="48"/>
    </row>
    <row r="193" spans="1:12" ht="12.75" customHeight="1" x14ac:dyDescent="0.2">
      <c r="A193" s="214" t="s">
        <v>16</v>
      </c>
      <c r="B193" s="218" t="s">
        <v>223</v>
      </c>
      <c r="C193" s="220" t="s">
        <v>147</v>
      </c>
      <c r="D193" s="223" t="s">
        <v>122</v>
      </c>
      <c r="E193" s="141">
        <v>2015</v>
      </c>
      <c r="F193" s="14"/>
      <c r="G193" s="14"/>
      <c r="H193" s="14"/>
      <c r="I193" s="14"/>
      <c r="J193" s="14"/>
      <c r="K193" s="154" t="s">
        <v>145</v>
      </c>
    </row>
    <row r="194" spans="1:12" x14ac:dyDescent="0.2">
      <c r="A194" s="214"/>
      <c r="B194" s="219"/>
      <c r="C194" s="221"/>
      <c r="D194" s="224"/>
      <c r="E194" s="141">
        <v>2016</v>
      </c>
      <c r="F194" s="14"/>
      <c r="G194" s="14"/>
      <c r="H194" s="14"/>
      <c r="I194" s="14"/>
      <c r="J194" s="14"/>
      <c r="K194" s="151"/>
    </row>
    <row r="195" spans="1:12" x14ac:dyDescent="0.2">
      <c r="A195" s="214"/>
      <c r="B195" s="219"/>
      <c r="C195" s="221"/>
      <c r="D195" s="224"/>
      <c r="E195" s="141">
        <v>2017</v>
      </c>
      <c r="F195" s="14"/>
      <c r="G195" s="14"/>
      <c r="H195" s="14"/>
      <c r="I195" s="14"/>
      <c r="J195" s="14"/>
      <c r="K195" s="151"/>
    </row>
    <row r="196" spans="1:12" x14ac:dyDescent="0.2">
      <c r="A196" s="214"/>
      <c r="B196" s="219"/>
      <c r="C196" s="221"/>
      <c r="D196" s="224"/>
      <c r="E196" s="141">
        <v>2018</v>
      </c>
      <c r="F196" s="14"/>
      <c r="G196" s="14"/>
      <c r="H196" s="14"/>
      <c r="I196" s="14"/>
      <c r="J196" s="14"/>
      <c r="K196" s="151"/>
    </row>
    <row r="197" spans="1:12" x14ac:dyDescent="0.2">
      <c r="A197" s="214"/>
      <c r="B197" s="219"/>
      <c r="C197" s="221"/>
      <c r="D197" s="224"/>
      <c r="E197" s="141">
        <v>2019</v>
      </c>
      <c r="F197" s="14">
        <f>SUM(G197:J197)</f>
        <v>0</v>
      </c>
      <c r="G197" s="14"/>
      <c r="H197" s="14">
        <f>85230-85230</f>
        <v>0</v>
      </c>
      <c r="I197" s="14">
        <f>860.9-860.9</f>
        <v>0</v>
      </c>
      <c r="J197" s="14"/>
      <c r="K197" s="151"/>
      <c r="L197" s="4" t="s">
        <v>270</v>
      </c>
    </row>
    <row r="198" spans="1:12" x14ac:dyDescent="0.2">
      <c r="A198" s="214"/>
      <c r="B198" s="219"/>
      <c r="C198" s="221"/>
      <c r="D198" s="224"/>
      <c r="E198" s="141">
        <v>2020</v>
      </c>
      <c r="F198" s="14">
        <f>SUM(G198:J198)</f>
        <v>86090.9</v>
      </c>
      <c r="G198" s="14"/>
      <c r="H198" s="14">
        <v>85230</v>
      </c>
      <c r="I198" s="14">
        <v>860.9</v>
      </c>
      <c r="J198" s="14"/>
      <c r="K198" s="151"/>
    </row>
    <row r="199" spans="1:12" ht="13.5" thickBot="1" x14ac:dyDescent="0.25">
      <c r="A199" s="214"/>
      <c r="B199" s="239"/>
      <c r="C199" s="222"/>
      <c r="D199" s="225"/>
      <c r="E199" s="24" t="s">
        <v>18</v>
      </c>
      <c r="F199" s="13">
        <f>SUM(F193:F198)</f>
        <v>86090.9</v>
      </c>
      <c r="G199" s="13">
        <f>SUM(G193:G198)</f>
        <v>0</v>
      </c>
      <c r="H199" s="13">
        <f>SUM(H193:H198)</f>
        <v>85230</v>
      </c>
      <c r="I199" s="13">
        <f>SUM(I193:I198)</f>
        <v>860.9</v>
      </c>
      <c r="J199" s="14"/>
      <c r="K199" s="155"/>
    </row>
    <row r="200" spans="1:12" ht="12.75" customHeight="1" x14ac:dyDescent="0.2">
      <c r="A200" s="214" t="s">
        <v>19</v>
      </c>
      <c r="B200" s="218" t="s">
        <v>57</v>
      </c>
      <c r="C200" s="220" t="s">
        <v>58</v>
      </c>
      <c r="D200" s="223" t="s">
        <v>122</v>
      </c>
      <c r="E200" s="141">
        <v>2015</v>
      </c>
      <c r="F200" s="14">
        <f>SUM(G200:I200)</f>
        <v>11594</v>
      </c>
      <c r="G200" s="14"/>
      <c r="H200" s="14">
        <f>9200+2278</f>
        <v>11478</v>
      </c>
      <c r="I200" s="14">
        <f>92.9+23.1</f>
        <v>116</v>
      </c>
      <c r="J200" s="14"/>
      <c r="K200" s="154" t="s">
        <v>146</v>
      </c>
    </row>
    <row r="201" spans="1:12" x14ac:dyDescent="0.2">
      <c r="A201" s="214"/>
      <c r="B201" s="219"/>
      <c r="C201" s="221"/>
      <c r="D201" s="224"/>
      <c r="E201" s="141">
        <v>2016</v>
      </c>
      <c r="F201" s="14">
        <f>SUM(G201:I201)</f>
        <v>19796.5</v>
      </c>
      <c r="G201" s="14"/>
      <c r="H201" s="14">
        <v>19593.599999999999</v>
      </c>
      <c r="I201" s="14">
        <f>198+4.9</f>
        <v>202.9</v>
      </c>
      <c r="J201" s="14"/>
      <c r="K201" s="151"/>
      <c r="L201" s="4" t="s">
        <v>280</v>
      </c>
    </row>
    <row r="202" spans="1:12" x14ac:dyDescent="0.2">
      <c r="A202" s="214"/>
      <c r="B202" s="219"/>
      <c r="C202" s="221"/>
      <c r="D202" s="224"/>
      <c r="E202" s="141">
        <v>2017</v>
      </c>
      <c r="F202" s="14"/>
      <c r="G202" s="14"/>
      <c r="H202" s="14"/>
      <c r="I202" s="14"/>
      <c r="J202" s="14"/>
      <c r="K202" s="151"/>
    </row>
    <row r="203" spans="1:12" x14ac:dyDescent="0.2">
      <c r="A203" s="214"/>
      <c r="B203" s="219"/>
      <c r="C203" s="221"/>
      <c r="D203" s="224"/>
      <c r="E203" s="141">
        <v>2018</v>
      </c>
      <c r="F203" s="14"/>
      <c r="G203" s="14"/>
      <c r="H203" s="14"/>
      <c r="I203" s="14"/>
      <c r="J203" s="14"/>
      <c r="K203" s="151"/>
    </row>
    <row r="204" spans="1:12" x14ac:dyDescent="0.2">
      <c r="A204" s="214"/>
      <c r="B204" s="219"/>
      <c r="C204" s="221"/>
      <c r="D204" s="224"/>
      <c r="E204" s="141">
        <v>2019</v>
      </c>
      <c r="F204" s="14"/>
      <c r="G204" s="14"/>
      <c r="H204" s="14"/>
      <c r="I204" s="14"/>
      <c r="J204" s="14"/>
      <c r="K204" s="151"/>
    </row>
    <row r="205" spans="1:12" x14ac:dyDescent="0.2">
      <c r="A205" s="214"/>
      <c r="B205" s="219"/>
      <c r="C205" s="221"/>
      <c r="D205" s="224"/>
      <c r="E205" s="141">
        <v>2020</v>
      </c>
      <c r="F205" s="13"/>
      <c r="G205" s="13"/>
      <c r="H205" s="13"/>
      <c r="I205" s="13"/>
      <c r="J205" s="14"/>
      <c r="K205" s="151"/>
    </row>
    <row r="206" spans="1:12" ht="13.5" thickBot="1" x14ac:dyDescent="0.25">
      <c r="A206" s="214"/>
      <c r="B206" s="219"/>
      <c r="C206" s="222"/>
      <c r="D206" s="225"/>
      <c r="E206" s="24" t="s">
        <v>18</v>
      </c>
      <c r="F206" s="13">
        <f>SUM(F200:F205)</f>
        <v>31390.5</v>
      </c>
      <c r="G206" s="13"/>
      <c r="H206" s="13">
        <f>SUM(H200:H205)</f>
        <v>31071.599999999999</v>
      </c>
      <c r="I206" s="13">
        <f>SUM(I200:I205)</f>
        <v>318.89999999999998</v>
      </c>
      <c r="J206" s="14"/>
      <c r="K206" s="155"/>
    </row>
    <row r="207" spans="1:12" x14ac:dyDescent="0.2">
      <c r="A207" s="214" t="s">
        <v>59</v>
      </c>
      <c r="B207" s="218" t="s">
        <v>318</v>
      </c>
      <c r="C207" s="220" t="s">
        <v>148</v>
      </c>
      <c r="D207" s="223" t="s">
        <v>122</v>
      </c>
      <c r="E207" s="141">
        <v>2015</v>
      </c>
      <c r="F207" s="14">
        <f>SUM(G207:I207)</f>
        <v>0</v>
      </c>
      <c r="G207" s="14"/>
      <c r="H207" s="14">
        <f>19500-19500</f>
        <v>0</v>
      </c>
      <c r="I207" s="14">
        <f>197-197</f>
        <v>0</v>
      </c>
      <c r="J207" s="14"/>
      <c r="K207" s="154" t="s">
        <v>184</v>
      </c>
    </row>
    <row r="208" spans="1:12" x14ac:dyDescent="0.2">
      <c r="A208" s="214"/>
      <c r="B208" s="219"/>
      <c r="C208" s="221"/>
      <c r="D208" s="224"/>
      <c r="E208" s="141">
        <v>2016</v>
      </c>
      <c r="F208" s="14">
        <f>SUM(G208:I208)</f>
        <v>0</v>
      </c>
      <c r="G208" s="14"/>
      <c r="H208" s="14">
        <v>0</v>
      </c>
      <c r="I208" s="14">
        <v>0</v>
      </c>
      <c r="J208" s="14"/>
      <c r="K208" s="151"/>
    </row>
    <row r="209" spans="1:33" x14ac:dyDescent="0.2">
      <c r="A209" s="214"/>
      <c r="B209" s="219"/>
      <c r="C209" s="221"/>
      <c r="D209" s="224"/>
      <c r="E209" s="141">
        <v>2017</v>
      </c>
      <c r="F209" s="14">
        <f>SUM(G209:I209)</f>
        <v>30000</v>
      </c>
      <c r="G209" s="14"/>
      <c r="H209" s="14">
        <v>0</v>
      </c>
      <c r="I209" s="14">
        <v>30000</v>
      </c>
      <c r="J209" s="14"/>
      <c r="K209" s="151"/>
    </row>
    <row r="210" spans="1:33" x14ac:dyDescent="0.2">
      <c r="A210" s="214"/>
      <c r="B210" s="219"/>
      <c r="C210" s="221"/>
      <c r="D210" s="224"/>
      <c r="E210" s="141">
        <v>2018</v>
      </c>
      <c r="F210" s="14">
        <f>SUM(G210:I210)</f>
        <v>0</v>
      </c>
      <c r="G210" s="14"/>
      <c r="H210" s="14">
        <v>0</v>
      </c>
      <c r="I210" s="14">
        <v>0</v>
      </c>
      <c r="J210" s="14"/>
      <c r="K210" s="151"/>
    </row>
    <row r="211" spans="1:33" ht="27.75" customHeight="1" thickBot="1" x14ac:dyDescent="0.25">
      <c r="A211" s="214"/>
      <c r="B211" s="219"/>
      <c r="C211" s="222"/>
      <c r="D211" s="225"/>
      <c r="E211" s="24" t="s">
        <v>18</v>
      </c>
      <c r="F211" s="13">
        <f>SUM(F207:F210)</f>
        <v>30000</v>
      </c>
      <c r="G211" s="13"/>
      <c r="H211" s="13">
        <f>SUM(H207:H208)</f>
        <v>0</v>
      </c>
      <c r="I211" s="13">
        <f>SUM(I207:I210)</f>
        <v>30000</v>
      </c>
      <c r="J211" s="14"/>
      <c r="K211" s="155"/>
    </row>
    <row r="212" spans="1:33" ht="15" x14ac:dyDescent="0.2">
      <c r="A212" s="49" t="s">
        <v>125</v>
      </c>
      <c r="B212" s="138"/>
      <c r="C212" s="41"/>
      <c r="D212" s="50"/>
      <c r="E212" s="24"/>
      <c r="F212" s="3"/>
      <c r="G212" s="3"/>
      <c r="H212" s="3"/>
      <c r="I212" s="3"/>
      <c r="J212" s="2"/>
      <c r="K212" s="141"/>
    </row>
    <row r="213" spans="1:33" x14ac:dyDescent="0.2">
      <c r="A213" s="214" t="s">
        <v>60</v>
      </c>
      <c r="B213" s="215" t="s">
        <v>248</v>
      </c>
      <c r="C213" s="194" t="s">
        <v>61</v>
      </c>
      <c r="D213" s="154" t="s">
        <v>222</v>
      </c>
      <c r="E213" s="141">
        <v>2015</v>
      </c>
      <c r="F213" s="14">
        <f t="shared" ref="F213:F218" si="11">SUM(G213:I213)</f>
        <v>11247</v>
      </c>
      <c r="G213" s="14"/>
      <c r="H213" s="14">
        <v>11106</v>
      </c>
      <c r="I213" s="14">
        <f>176.6-5-30.6</f>
        <v>141</v>
      </c>
      <c r="J213" s="14"/>
      <c r="K213" s="154" t="s">
        <v>149</v>
      </c>
    </row>
    <row r="214" spans="1:33" x14ac:dyDescent="0.2">
      <c r="A214" s="214"/>
      <c r="B214" s="216"/>
      <c r="C214" s="166"/>
      <c r="D214" s="151"/>
      <c r="E214" s="141">
        <v>2016</v>
      </c>
      <c r="F214" s="14">
        <f t="shared" si="11"/>
        <v>18177.099999999995</v>
      </c>
      <c r="G214" s="14"/>
      <c r="H214" s="14">
        <v>0</v>
      </c>
      <c r="I214" s="14">
        <f>329.1+8010.2+741.4+6855.2- 5378.5-329.1+7910+38.8</f>
        <v>18177.099999999995</v>
      </c>
      <c r="J214" s="14"/>
      <c r="K214" s="151"/>
      <c r="L214" s="4" t="s">
        <v>281</v>
      </c>
    </row>
    <row r="215" spans="1:33" x14ac:dyDescent="0.2">
      <c r="A215" s="214"/>
      <c r="B215" s="216"/>
      <c r="C215" s="166"/>
      <c r="D215" s="151"/>
      <c r="E215" s="141">
        <v>2017</v>
      </c>
      <c r="F215" s="14">
        <f t="shared" si="11"/>
        <v>10704.2</v>
      </c>
      <c r="G215" s="14"/>
      <c r="H215" s="14">
        <v>0</v>
      </c>
      <c r="I215" s="14">
        <v>10704.2</v>
      </c>
      <c r="J215" s="14"/>
      <c r="K215" s="151"/>
    </row>
    <row r="216" spans="1:33" x14ac:dyDescent="0.2">
      <c r="A216" s="214"/>
      <c r="B216" s="216"/>
      <c r="C216" s="166"/>
      <c r="D216" s="151"/>
      <c r="E216" s="141">
        <v>2018</v>
      </c>
      <c r="F216" s="14">
        <f t="shared" si="11"/>
        <v>0</v>
      </c>
      <c r="G216" s="14"/>
      <c r="H216" s="14">
        <f>5675-5675</f>
        <v>0</v>
      </c>
      <c r="I216" s="14">
        <f>299-299</f>
        <v>0</v>
      </c>
      <c r="J216" s="14"/>
      <c r="K216" s="151"/>
      <c r="L216" s="4" t="s">
        <v>271</v>
      </c>
    </row>
    <row r="217" spans="1:33" x14ac:dyDescent="0.2">
      <c r="A217" s="214"/>
      <c r="B217" s="216"/>
      <c r="C217" s="166"/>
      <c r="D217" s="151"/>
      <c r="E217" s="141">
        <v>2019</v>
      </c>
      <c r="F217" s="14">
        <f t="shared" si="11"/>
        <v>0</v>
      </c>
      <c r="G217" s="14"/>
      <c r="H217" s="14">
        <f>23675-23675</f>
        <v>0</v>
      </c>
      <c r="I217" s="14">
        <f>1246-1246</f>
        <v>0</v>
      </c>
      <c r="J217" s="14"/>
      <c r="K217" s="151"/>
      <c r="L217" s="124" t="s">
        <v>271</v>
      </c>
    </row>
    <row r="218" spans="1:33" x14ac:dyDescent="0.2">
      <c r="A218" s="214"/>
      <c r="B218" s="216"/>
      <c r="C218" s="166"/>
      <c r="D218" s="151"/>
      <c r="E218" s="141">
        <v>2020</v>
      </c>
      <c r="F218" s="14">
        <f t="shared" si="11"/>
        <v>17771.5</v>
      </c>
      <c r="G218" s="14"/>
      <c r="H218" s="14">
        <v>16882.5</v>
      </c>
      <c r="I218" s="14">
        <f>615+274</f>
        <v>889</v>
      </c>
      <c r="J218" s="14"/>
      <c r="K218" s="151"/>
    </row>
    <row r="219" spans="1:33" ht="60" customHeight="1" x14ac:dyDescent="0.2">
      <c r="A219" s="227"/>
      <c r="B219" s="217"/>
      <c r="C219" s="207"/>
      <c r="D219" s="155"/>
      <c r="E219" s="32" t="s">
        <v>18</v>
      </c>
      <c r="F219" s="51">
        <f>SUM(F213:F218)</f>
        <v>57899.799999999996</v>
      </c>
      <c r="G219" s="51">
        <f>SUM(G213:G218)</f>
        <v>0</v>
      </c>
      <c r="H219" s="51">
        <f>SUM(H213:H218)</f>
        <v>27988.5</v>
      </c>
      <c r="I219" s="51">
        <f>SUM(I213:I218)</f>
        <v>29911.299999999996</v>
      </c>
      <c r="J219" s="28"/>
      <c r="K219" s="155"/>
      <c r="L219" s="34"/>
      <c r="M219" s="34"/>
      <c r="N219" s="34"/>
      <c r="O219" s="34"/>
      <c r="P219" s="34"/>
      <c r="Q219" s="34"/>
      <c r="R219" s="34"/>
      <c r="S219" s="34"/>
      <c r="T219" s="34"/>
      <c r="U219" s="34"/>
      <c r="V219" s="34"/>
      <c r="W219" s="34"/>
      <c r="X219" s="34"/>
      <c r="Y219" s="34"/>
      <c r="Z219" s="34"/>
      <c r="AA219" s="34"/>
      <c r="AB219" s="34"/>
      <c r="AC219" s="34"/>
      <c r="AD219" s="34"/>
      <c r="AE219" s="34"/>
      <c r="AF219" s="34"/>
      <c r="AG219" s="34"/>
    </row>
    <row r="220" spans="1:33" x14ac:dyDescent="0.2">
      <c r="A220" s="228" t="s">
        <v>249</v>
      </c>
      <c r="B220" s="215" t="s">
        <v>304</v>
      </c>
      <c r="C220" s="194" t="s">
        <v>250</v>
      </c>
      <c r="D220" s="154" t="s">
        <v>222</v>
      </c>
      <c r="E220" s="141">
        <v>2016</v>
      </c>
      <c r="F220" s="14">
        <f t="shared" ref="F220:F221" si="12">SUM(G220:I220)</f>
        <v>63958.799999999996</v>
      </c>
      <c r="G220" s="14"/>
      <c r="H220" s="14">
        <v>63319.199999999997</v>
      </c>
      <c r="I220" s="14">
        <v>639.6</v>
      </c>
      <c r="J220" s="14"/>
      <c r="K220" s="154" t="s">
        <v>149</v>
      </c>
    </row>
    <row r="221" spans="1:33" x14ac:dyDescent="0.2">
      <c r="A221" s="229"/>
      <c r="B221" s="216"/>
      <c r="C221" s="166"/>
      <c r="D221" s="151"/>
      <c r="E221" s="141">
        <v>2017</v>
      </c>
      <c r="F221" s="14">
        <f t="shared" si="12"/>
        <v>37532.400000000001</v>
      </c>
      <c r="G221" s="14"/>
      <c r="H221" s="14">
        <f>0+37157.1</f>
        <v>37157.1</v>
      </c>
      <c r="I221" s="14">
        <f>0+375.3</f>
        <v>375.3</v>
      </c>
      <c r="J221" s="14"/>
      <c r="K221" s="151"/>
      <c r="L221" s="124" t="s">
        <v>255</v>
      </c>
    </row>
    <row r="222" spans="1:33" ht="109.5" customHeight="1" x14ac:dyDescent="0.2">
      <c r="A222" s="230"/>
      <c r="B222" s="217"/>
      <c r="C222" s="207"/>
      <c r="D222" s="155"/>
      <c r="E222" s="32" t="s">
        <v>18</v>
      </c>
      <c r="F222" s="51">
        <f>SUM(F220:F221)</f>
        <v>101491.2</v>
      </c>
      <c r="G222" s="51">
        <f>SUM(G220:G221)</f>
        <v>0</v>
      </c>
      <c r="H222" s="51">
        <f>SUM(H220:H221)</f>
        <v>100476.29999999999</v>
      </c>
      <c r="I222" s="51">
        <f>SUM(I220:I221)</f>
        <v>1014.9000000000001</v>
      </c>
      <c r="J222" s="28"/>
      <c r="K222" s="155"/>
      <c r="L222" s="34"/>
      <c r="M222" s="34"/>
      <c r="N222" s="34"/>
      <c r="O222" s="34"/>
      <c r="P222" s="34"/>
      <c r="Q222" s="34"/>
      <c r="R222" s="34"/>
      <c r="S222" s="34"/>
      <c r="T222" s="34"/>
      <c r="U222" s="34"/>
      <c r="V222" s="34"/>
      <c r="W222" s="34"/>
      <c r="X222" s="34"/>
      <c r="Y222" s="34"/>
      <c r="Z222" s="34"/>
      <c r="AA222" s="34"/>
      <c r="AB222" s="34"/>
      <c r="AC222" s="34"/>
      <c r="AD222" s="34"/>
      <c r="AE222" s="34"/>
      <c r="AF222" s="34"/>
      <c r="AG222" s="34"/>
    </row>
    <row r="223" spans="1:33" x14ac:dyDescent="0.2">
      <c r="A223" s="228" t="s">
        <v>251</v>
      </c>
      <c r="B223" s="215" t="s">
        <v>300</v>
      </c>
      <c r="C223" s="194" t="s">
        <v>250</v>
      </c>
      <c r="D223" s="154" t="s">
        <v>222</v>
      </c>
      <c r="E223" s="141">
        <v>2017</v>
      </c>
      <c r="F223" s="14">
        <f t="shared" ref="F223" si="13">SUM(G223:I223)</f>
        <v>22465.050000000003</v>
      </c>
      <c r="G223" s="14"/>
      <c r="H223" s="14">
        <v>22240.400000000001</v>
      </c>
      <c r="I223" s="14">
        <v>224.65</v>
      </c>
      <c r="J223" s="14"/>
      <c r="K223" s="154" t="s">
        <v>149</v>
      </c>
    </row>
    <row r="224" spans="1:33" ht="65.25" customHeight="1" x14ac:dyDescent="0.2">
      <c r="A224" s="230"/>
      <c r="B224" s="217"/>
      <c r="C224" s="207"/>
      <c r="D224" s="155"/>
      <c r="E224" s="32" t="s">
        <v>18</v>
      </c>
      <c r="F224" s="51">
        <f>SUM(F223:F223)</f>
        <v>22465.050000000003</v>
      </c>
      <c r="G224" s="51">
        <f>SUM(G223:G223)</f>
        <v>0</v>
      </c>
      <c r="H224" s="51">
        <f>SUM(H223:H223)</f>
        <v>22240.400000000001</v>
      </c>
      <c r="I224" s="51">
        <f>SUM(I223:I223)</f>
        <v>224.65</v>
      </c>
      <c r="J224" s="28"/>
      <c r="K224" s="155"/>
      <c r="L224" s="34"/>
      <c r="M224" s="34"/>
      <c r="N224" s="34"/>
      <c r="O224" s="34"/>
      <c r="P224" s="34"/>
      <c r="Q224" s="34"/>
      <c r="R224" s="34"/>
      <c r="S224" s="34"/>
      <c r="T224" s="34"/>
      <c r="U224" s="34"/>
      <c r="V224" s="34"/>
      <c r="W224" s="34"/>
      <c r="X224" s="34"/>
      <c r="Y224" s="34"/>
      <c r="Z224" s="34"/>
      <c r="AA224" s="34"/>
      <c r="AB224" s="34"/>
      <c r="AC224" s="34"/>
      <c r="AD224" s="34"/>
      <c r="AE224" s="34"/>
      <c r="AF224" s="34"/>
      <c r="AG224" s="34"/>
    </row>
    <row r="225" spans="1:33" ht="14.25" customHeight="1" x14ac:dyDescent="0.2">
      <c r="A225" s="195" t="s">
        <v>220</v>
      </c>
      <c r="B225" s="226"/>
      <c r="C225" s="226"/>
      <c r="D225" s="226"/>
      <c r="E225" s="226"/>
      <c r="F225" s="226"/>
      <c r="G225" s="226"/>
      <c r="H225" s="226"/>
      <c r="I225" s="226"/>
      <c r="J225" s="226"/>
      <c r="K225" s="226"/>
      <c r="L225" s="42"/>
      <c r="M225" s="42"/>
      <c r="N225" s="42"/>
      <c r="O225" s="42"/>
      <c r="P225" s="42"/>
      <c r="Q225" s="42"/>
      <c r="R225" s="42"/>
      <c r="S225" s="42"/>
      <c r="T225" s="42"/>
      <c r="U225" s="42"/>
      <c r="V225" s="42"/>
      <c r="W225" s="42"/>
      <c r="X225" s="42"/>
      <c r="Y225" s="42"/>
      <c r="Z225" s="42"/>
      <c r="AA225" s="42"/>
      <c r="AB225" s="42"/>
      <c r="AC225" s="42"/>
      <c r="AD225" s="42"/>
      <c r="AE225" s="42"/>
      <c r="AF225" s="42"/>
      <c r="AG225" s="34"/>
    </row>
    <row r="226" spans="1:33" x14ac:dyDescent="0.2">
      <c r="A226" s="214" t="s">
        <v>121</v>
      </c>
      <c r="B226" s="165" t="s">
        <v>150</v>
      </c>
      <c r="C226" s="194" t="s">
        <v>61</v>
      </c>
      <c r="D226" s="154" t="s">
        <v>222</v>
      </c>
      <c r="E226" s="141">
        <v>2015</v>
      </c>
      <c r="F226" s="14">
        <f>SUM(G226:I226)</f>
        <v>3333.3</v>
      </c>
      <c r="G226" s="14"/>
      <c r="H226" s="14">
        <v>3300</v>
      </c>
      <c r="I226" s="14">
        <v>33.299999999999997</v>
      </c>
      <c r="J226" s="14"/>
      <c r="K226" s="154" t="s">
        <v>149</v>
      </c>
      <c r="L226" s="34"/>
      <c r="M226" s="34"/>
      <c r="N226" s="34"/>
      <c r="O226" s="34"/>
      <c r="P226" s="34"/>
      <c r="Q226" s="34"/>
      <c r="R226" s="34"/>
      <c r="S226" s="34"/>
      <c r="T226" s="34"/>
      <c r="U226" s="34"/>
      <c r="V226" s="34"/>
      <c r="W226" s="34"/>
      <c r="X226" s="34"/>
      <c r="Y226" s="34"/>
      <c r="Z226" s="34"/>
      <c r="AA226" s="34"/>
      <c r="AB226" s="34"/>
      <c r="AC226" s="34"/>
      <c r="AD226" s="34"/>
      <c r="AE226" s="34"/>
      <c r="AF226" s="34"/>
      <c r="AG226" s="34"/>
    </row>
    <row r="227" spans="1:33" x14ac:dyDescent="0.2">
      <c r="A227" s="214"/>
      <c r="B227" s="186"/>
      <c r="C227" s="166"/>
      <c r="D227" s="151"/>
      <c r="E227" s="141">
        <v>2016</v>
      </c>
      <c r="F227" s="14">
        <f>SUM(G227:I227)</f>
        <v>7820.0999999999995</v>
      </c>
      <c r="G227" s="14"/>
      <c r="H227" s="14">
        <f>0+7375.9</f>
        <v>7375.9</v>
      </c>
      <c r="I227" s="14">
        <f>369.7+74.5</f>
        <v>444.2</v>
      </c>
      <c r="J227" s="14"/>
      <c r="K227" s="151"/>
      <c r="L227" s="4" t="s">
        <v>282</v>
      </c>
    </row>
    <row r="228" spans="1:33" x14ac:dyDescent="0.2">
      <c r="A228" s="214"/>
      <c r="B228" s="186"/>
      <c r="C228" s="166"/>
      <c r="D228" s="151"/>
      <c r="E228" s="141">
        <v>2017</v>
      </c>
      <c r="F228" s="14"/>
      <c r="G228" s="14"/>
      <c r="H228" s="14"/>
      <c r="I228" s="14"/>
      <c r="J228" s="14"/>
      <c r="K228" s="151"/>
    </row>
    <row r="229" spans="1:33" x14ac:dyDescent="0.2">
      <c r="A229" s="214"/>
      <c r="B229" s="186"/>
      <c r="C229" s="166"/>
      <c r="D229" s="151"/>
      <c r="E229" s="141">
        <v>2018</v>
      </c>
      <c r="F229" s="14"/>
      <c r="G229" s="14"/>
      <c r="H229" s="14"/>
      <c r="I229" s="14"/>
      <c r="J229" s="14"/>
      <c r="K229" s="151"/>
    </row>
    <row r="230" spans="1:33" x14ac:dyDescent="0.2">
      <c r="A230" s="214"/>
      <c r="B230" s="186"/>
      <c r="C230" s="166"/>
      <c r="D230" s="151"/>
      <c r="E230" s="141">
        <v>2019</v>
      </c>
      <c r="F230" s="14"/>
      <c r="G230" s="14"/>
      <c r="H230" s="14"/>
      <c r="I230" s="14"/>
      <c r="J230" s="14"/>
      <c r="K230" s="151"/>
    </row>
    <row r="231" spans="1:33" x14ac:dyDescent="0.2">
      <c r="A231" s="214"/>
      <c r="B231" s="186"/>
      <c r="C231" s="166"/>
      <c r="D231" s="151"/>
      <c r="E231" s="141">
        <v>2020</v>
      </c>
      <c r="F231" s="14"/>
      <c r="G231" s="14"/>
      <c r="H231" s="14"/>
      <c r="I231" s="14"/>
      <c r="J231" s="14"/>
      <c r="K231" s="151"/>
    </row>
    <row r="232" spans="1:33" ht="60.75" customHeight="1" x14ac:dyDescent="0.2">
      <c r="A232" s="214"/>
      <c r="B232" s="186"/>
      <c r="C232" s="207"/>
      <c r="D232" s="155"/>
      <c r="E232" s="24" t="s">
        <v>18</v>
      </c>
      <c r="F232" s="13">
        <f>SUM(F226:F231)</f>
        <v>11153.4</v>
      </c>
      <c r="G232" s="13"/>
      <c r="H232" s="13">
        <f>SUM(H226:H231)</f>
        <v>10675.9</v>
      </c>
      <c r="I232" s="13">
        <f>SUM(I226:I231)</f>
        <v>477.5</v>
      </c>
      <c r="J232" s="14"/>
      <c r="K232" s="155"/>
    </row>
    <row r="233" spans="1:33" ht="15" customHeight="1" x14ac:dyDescent="0.2">
      <c r="A233" s="246" t="s">
        <v>320</v>
      </c>
      <c r="B233" s="208" t="s">
        <v>254</v>
      </c>
      <c r="C233" s="194" t="s">
        <v>221</v>
      </c>
      <c r="D233" s="154" t="s">
        <v>222</v>
      </c>
      <c r="E233" s="141">
        <v>2016</v>
      </c>
      <c r="F233" s="28">
        <f>G233+H233+I233</f>
        <v>10976.3</v>
      </c>
      <c r="G233" s="51"/>
      <c r="H233" s="51"/>
      <c r="I233" s="28">
        <f>5500+3899.9+1247.3+329.1</f>
        <v>10976.3</v>
      </c>
      <c r="J233" s="28"/>
      <c r="K233" s="154" t="s">
        <v>143</v>
      </c>
      <c r="L233" s="4" t="s">
        <v>283</v>
      </c>
    </row>
    <row r="234" spans="1:33" ht="13.5" customHeight="1" x14ac:dyDescent="0.2">
      <c r="A234" s="247"/>
      <c r="B234" s="209"/>
      <c r="C234" s="166"/>
      <c r="D234" s="151"/>
      <c r="E234" s="141">
        <v>2017</v>
      </c>
      <c r="F234" s="28">
        <f>G234+H234+I234</f>
        <v>6314</v>
      </c>
      <c r="G234" s="51"/>
      <c r="H234" s="51"/>
      <c r="I234" s="28">
        <f>5797.7+516.3</f>
        <v>6314</v>
      </c>
      <c r="J234" s="28"/>
      <c r="K234" s="151"/>
      <c r="L234" s="135" t="s">
        <v>255</v>
      </c>
      <c r="M234" s="396" t="s">
        <v>257</v>
      </c>
      <c r="N234" s="396"/>
      <c r="O234" s="396"/>
      <c r="P234" s="124" t="s">
        <v>261</v>
      </c>
    </row>
    <row r="235" spans="1:33" ht="18.75" customHeight="1" x14ac:dyDescent="0.2">
      <c r="A235" s="247"/>
      <c r="B235" s="209"/>
      <c r="C235" s="166"/>
      <c r="D235" s="151"/>
      <c r="E235" s="141">
        <v>2018</v>
      </c>
      <c r="F235" s="28">
        <f>G235+H235+I235</f>
        <v>1200</v>
      </c>
      <c r="G235" s="51"/>
      <c r="H235" s="51"/>
      <c r="I235" s="28">
        <f>1000+200</f>
        <v>1200</v>
      </c>
      <c r="J235" s="28"/>
      <c r="K235" s="151"/>
      <c r="L235" s="124" t="s">
        <v>255</v>
      </c>
      <c r="M235" s="124" t="s">
        <v>272</v>
      </c>
    </row>
    <row r="236" spans="1:33" ht="16.5" customHeight="1" x14ac:dyDescent="0.2">
      <c r="A236" s="247"/>
      <c r="B236" s="209"/>
      <c r="C236" s="166"/>
      <c r="D236" s="151"/>
      <c r="E236" s="141">
        <v>2019</v>
      </c>
      <c r="F236" s="28">
        <f>G236+H236+I236</f>
        <v>11532.2</v>
      </c>
      <c r="G236" s="51"/>
      <c r="H236" s="51"/>
      <c r="I236" s="28">
        <f>11232.2+300</f>
        <v>11532.2</v>
      </c>
      <c r="J236" s="28"/>
      <c r="K236" s="151"/>
      <c r="L236" s="124" t="s">
        <v>255</v>
      </c>
      <c r="M236" s="124" t="s">
        <v>277</v>
      </c>
    </row>
    <row r="237" spans="1:33" ht="15.75" customHeight="1" x14ac:dyDescent="0.2">
      <c r="A237" s="247"/>
      <c r="B237" s="209"/>
      <c r="C237" s="166"/>
      <c r="D237" s="151"/>
      <c r="E237" s="141">
        <v>2020</v>
      </c>
      <c r="F237" s="51"/>
      <c r="G237" s="51"/>
      <c r="H237" s="51"/>
      <c r="I237" s="51"/>
      <c r="J237" s="28"/>
      <c r="K237" s="151"/>
    </row>
    <row r="238" spans="1:33" ht="16.5" customHeight="1" x14ac:dyDescent="0.2">
      <c r="A238" s="248"/>
      <c r="B238" s="164"/>
      <c r="C238" s="207"/>
      <c r="D238" s="155"/>
      <c r="E238" s="32" t="s">
        <v>18</v>
      </c>
      <c r="F238" s="51">
        <f>SUM(F233:F237)</f>
        <v>30022.5</v>
      </c>
      <c r="G238" s="51"/>
      <c r="H238" s="51">
        <v>0</v>
      </c>
      <c r="I238" s="51">
        <f>SUM(I233:I237)</f>
        <v>30022.5</v>
      </c>
      <c r="J238" s="28"/>
      <c r="K238" s="155"/>
    </row>
    <row r="239" spans="1:33" ht="15" customHeight="1" x14ac:dyDescent="0.2">
      <c r="A239" s="195" t="s">
        <v>188</v>
      </c>
      <c r="B239" s="196"/>
      <c r="C239" s="196"/>
      <c r="D239" s="196"/>
      <c r="E239" s="196"/>
      <c r="F239" s="196"/>
      <c r="G239" s="196"/>
      <c r="H239" s="196"/>
      <c r="I239" s="196"/>
      <c r="J239" s="196"/>
      <c r="K239" s="196"/>
      <c r="L239" s="52"/>
      <c r="M239" s="52"/>
      <c r="N239" s="52"/>
      <c r="O239" s="52"/>
      <c r="P239" s="52"/>
      <c r="Q239" s="52"/>
      <c r="R239" s="52"/>
      <c r="S239" s="52"/>
      <c r="T239" s="52"/>
      <c r="U239" s="52"/>
      <c r="V239" s="52"/>
      <c r="W239" s="52"/>
      <c r="X239" s="52"/>
      <c r="Y239" s="52"/>
      <c r="Z239" s="52"/>
      <c r="AA239" s="52"/>
      <c r="AB239" s="52"/>
      <c r="AC239" s="52"/>
      <c r="AD239" s="52"/>
      <c r="AE239" s="52"/>
      <c r="AF239" s="52"/>
    </row>
    <row r="240" spans="1:33" ht="12.75" customHeight="1" x14ac:dyDescent="0.2">
      <c r="A240" s="197" t="s">
        <v>323</v>
      </c>
      <c r="B240" s="165" t="s">
        <v>62</v>
      </c>
      <c r="C240" s="177" t="s">
        <v>61</v>
      </c>
      <c r="D240" s="198" t="s">
        <v>222</v>
      </c>
      <c r="E240" s="141">
        <v>2015</v>
      </c>
      <c r="F240" s="14">
        <f t="shared" ref="F240:F245" si="14">SUM(G240:I240)</f>
        <v>28178.2</v>
      </c>
      <c r="G240" s="14"/>
      <c r="H240" s="14"/>
      <c r="I240" s="14">
        <f>27846.2+850-518</f>
        <v>28178.2</v>
      </c>
      <c r="J240" s="14"/>
      <c r="K240" s="154" t="s">
        <v>141</v>
      </c>
      <c r="L240" s="129" t="s">
        <v>260</v>
      </c>
      <c r="M240" s="34"/>
      <c r="N240" s="34"/>
      <c r="O240" s="34"/>
      <c r="P240" s="34"/>
      <c r="Q240" s="34"/>
      <c r="R240" s="34"/>
      <c r="S240" s="34"/>
      <c r="T240" s="34"/>
      <c r="U240" s="34"/>
      <c r="V240" s="34"/>
      <c r="W240" s="34"/>
      <c r="X240" s="34"/>
      <c r="Y240" s="34"/>
      <c r="Z240" s="34"/>
      <c r="AA240" s="34"/>
      <c r="AB240" s="34"/>
      <c r="AC240" s="34"/>
      <c r="AD240" s="34"/>
      <c r="AE240" s="34"/>
      <c r="AF240" s="34"/>
    </row>
    <row r="241" spans="1:32" ht="12.75" customHeight="1" x14ac:dyDescent="0.2">
      <c r="A241" s="197"/>
      <c r="B241" s="186"/>
      <c r="C241" s="177"/>
      <c r="D241" s="198"/>
      <c r="E241" s="141">
        <v>2016</v>
      </c>
      <c r="F241" s="14">
        <f t="shared" si="14"/>
        <v>27397.3</v>
      </c>
      <c r="G241" s="14"/>
      <c r="H241" s="14"/>
      <c r="I241" s="14">
        <f>29107-180-453.2-1076.5</f>
        <v>27397.3</v>
      </c>
      <c r="J241" s="14"/>
      <c r="K241" s="151"/>
      <c r="L241" s="53"/>
      <c r="M241" s="34"/>
      <c r="N241" s="34"/>
      <c r="O241" s="34"/>
      <c r="P241" s="34"/>
      <c r="Q241" s="34"/>
      <c r="R241" s="34"/>
      <c r="S241" s="34"/>
      <c r="T241" s="34"/>
      <c r="U241" s="34"/>
      <c r="V241" s="34"/>
      <c r="W241" s="34"/>
      <c r="X241" s="34"/>
      <c r="Y241" s="34"/>
      <c r="Z241" s="34"/>
      <c r="AA241" s="34"/>
      <c r="AB241" s="34"/>
      <c r="AC241" s="34"/>
      <c r="AD241" s="34"/>
      <c r="AE241" s="34"/>
      <c r="AF241" s="34"/>
    </row>
    <row r="242" spans="1:32" ht="12.75" customHeight="1" x14ac:dyDescent="0.2">
      <c r="A242" s="197"/>
      <c r="B242" s="186"/>
      <c r="C242" s="177"/>
      <c r="D242" s="198"/>
      <c r="E242" s="141">
        <v>2017</v>
      </c>
      <c r="F242" s="14">
        <f t="shared" si="14"/>
        <v>28167.4</v>
      </c>
      <c r="G242" s="14"/>
      <c r="H242" s="14"/>
      <c r="I242" s="14">
        <f>30044.9-1877.5</f>
        <v>28167.4</v>
      </c>
      <c r="J242" s="14"/>
      <c r="K242" s="151"/>
      <c r="L242" s="129" t="s">
        <v>256</v>
      </c>
      <c r="M242" s="129" t="s">
        <v>284</v>
      </c>
      <c r="N242" s="34"/>
      <c r="O242" s="34"/>
      <c r="P242" s="129"/>
      <c r="Q242" s="34"/>
      <c r="R242" s="34"/>
      <c r="S242" s="34"/>
      <c r="T242" s="34"/>
      <c r="U242" s="34"/>
      <c r="V242" s="34"/>
      <c r="W242" s="34"/>
      <c r="X242" s="34"/>
      <c r="Y242" s="34"/>
      <c r="Z242" s="34"/>
      <c r="AA242" s="34"/>
      <c r="AB242" s="34"/>
      <c r="AC242" s="34"/>
      <c r="AD242" s="34"/>
      <c r="AE242" s="34"/>
      <c r="AF242" s="34"/>
    </row>
    <row r="243" spans="1:32" ht="12.75" customHeight="1" x14ac:dyDescent="0.2">
      <c r="A243" s="197"/>
      <c r="B243" s="186"/>
      <c r="C243" s="177"/>
      <c r="D243" s="198"/>
      <c r="E243" s="141">
        <v>2018</v>
      </c>
      <c r="F243" s="14">
        <f t="shared" si="14"/>
        <v>18702.8</v>
      </c>
      <c r="G243" s="14"/>
      <c r="H243" s="14"/>
      <c r="I243" s="14">
        <f>18191.2+511.6</f>
        <v>18702.8</v>
      </c>
      <c r="J243" s="14"/>
      <c r="K243" s="151"/>
      <c r="L243" s="129" t="s">
        <v>256</v>
      </c>
      <c r="M243" s="129" t="s">
        <v>285</v>
      </c>
      <c r="N243" s="34"/>
      <c r="O243" s="34"/>
      <c r="P243" s="34"/>
      <c r="Q243" s="34"/>
      <c r="R243" s="34"/>
      <c r="S243" s="34"/>
      <c r="T243" s="34"/>
      <c r="U243" s="34"/>
      <c r="V243" s="34"/>
      <c r="W243" s="34"/>
      <c r="X243" s="34"/>
      <c r="Y243" s="34"/>
      <c r="Z243" s="34"/>
      <c r="AA243" s="34"/>
      <c r="AB243" s="34"/>
      <c r="AC243" s="34"/>
      <c r="AD243" s="34"/>
      <c r="AE243" s="34"/>
      <c r="AF243" s="34"/>
    </row>
    <row r="244" spans="1:32" ht="12.75" customHeight="1" x14ac:dyDescent="0.2">
      <c r="A244" s="197"/>
      <c r="B244" s="186"/>
      <c r="C244" s="177"/>
      <c r="D244" s="198"/>
      <c r="E244" s="141">
        <v>2019</v>
      </c>
      <c r="F244" s="14">
        <f t="shared" si="14"/>
        <v>21130.9</v>
      </c>
      <c r="G244" s="14"/>
      <c r="H244" s="14"/>
      <c r="I244" s="14">
        <f>29360.4-8229.5</f>
        <v>21130.9</v>
      </c>
      <c r="J244" s="14"/>
      <c r="K244" s="151"/>
      <c r="L244" s="129" t="s">
        <v>256</v>
      </c>
      <c r="M244" s="129" t="s">
        <v>286</v>
      </c>
      <c r="N244" s="34"/>
      <c r="O244" s="34"/>
      <c r="P244" s="34"/>
      <c r="Q244" s="34"/>
      <c r="R244" s="34"/>
      <c r="S244" s="34"/>
      <c r="T244" s="34"/>
      <c r="U244" s="34"/>
      <c r="V244" s="34"/>
      <c r="W244" s="34"/>
      <c r="X244" s="34"/>
      <c r="Y244" s="34"/>
      <c r="Z244" s="34"/>
      <c r="AA244" s="34"/>
      <c r="AB244" s="34"/>
      <c r="AC244" s="34"/>
      <c r="AD244" s="34"/>
      <c r="AE244" s="34"/>
      <c r="AF244" s="34"/>
    </row>
    <row r="245" spans="1:32" ht="12.75" customHeight="1" x14ac:dyDescent="0.2">
      <c r="A245" s="197"/>
      <c r="B245" s="186"/>
      <c r="C245" s="177"/>
      <c r="D245" s="198"/>
      <c r="E245" s="141">
        <v>2020</v>
      </c>
      <c r="F245" s="14">
        <f t="shared" si="14"/>
        <v>28083.200000000001</v>
      </c>
      <c r="G245" s="14"/>
      <c r="H245" s="14"/>
      <c r="I245" s="14">
        <v>28083.200000000001</v>
      </c>
      <c r="J245" s="14"/>
      <c r="K245" s="151"/>
      <c r="L245" s="34"/>
      <c r="M245" s="34"/>
      <c r="N245" s="34"/>
      <c r="O245" s="34"/>
      <c r="P245" s="34"/>
      <c r="Q245" s="34"/>
      <c r="R245" s="34"/>
      <c r="S245" s="34"/>
      <c r="T245" s="34"/>
      <c r="U245" s="34"/>
      <c r="V245" s="34"/>
      <c r="W245" s="34"/>
      <c r="X245" s="34"/>
      <c r="Y245" s="34"/>
      <c r="Z245" s="34"/>
      <c r="AA245" s="34"/>
      <c r="AB245" s="34"/>
      <c r="AC245" s="34"/>
      <c r="AD245" s="34"/>
      <c r="AE245" s="34"/>
      <c r="AF245" s="34"/>
    </row>
    <row r="246" spans="1:32" ht="36" customHeight="1" x14ac:dyDescent="0.2">
      <c r="A246" s="197"/>
      <c r="B246" s="186"/>
      <c r="C246" s="177"/>
      <c r="D246" s="198"/>
      <c r="E246" s="32" t="s">
        <v>18</v>
      </c>
      <c r="F246" s="51">
        <f>SUM(F240:F245)</f>
        <v>151659.80000000002</v>
      </c>
      <c r="G246" s="51"/>
      <c r="H246" s="51"/>
      <c r="I246" s="51">
        <f>SUM(I240:I245)</f>
        <v>151659.80000000002</v>
      </c>
      <c r="J246" s="28"/>
      <c r="K246" s="155"/>
    </row>
    <row r="247" spans="1:32" ht="12.75" customHeight="1" x14ac:dyDescent="0.2">
      <c r="A247" s="197" t="s">
        <v>324</v>
      </c>
      <c r="B247" s="165" t="s">
        <v>305</v>
      </c>
      <c r="C247" s="177" t="s">
        <v>61</v>
      </c>
      <c r="D247" s="198" t="s">
        <v>222</v>
      </c>
      <c r="E247" s="141">
        <v>2017</v>
      </c>
      <c r="F247" s="14">
        <f t="shared" ref="F247:F250" si="15">SUM(G247:I247)</f>
        <v>4186</v>
      </c>
      <c r="G247" s="14"/>
      <c r="H247" s="14"/>
      <c r="I247" s="14">
        <v>4186</v>
      </c>
      <c r="J247" s="14"/>
      <c r="K247" s="154" t="s">
        <v>313</v>
      </c>
      <c r="L247" s="129" t="s">
        <v>260</v>
      </c>
      <c r="M247" s="34"/>
      <c r="N247" s="34"/>
      <c r="O247" s="34"/>
      <c r="P247" s="34"/>
      <c r="Q247" s="34"/>
      <c r="R247" s="34"/>
      <c r="S247" s="34"/>
      <c r="T247" s="34"/>
      <c r="U247" s="34"/>
      <c r="V247" s="34"/>
      <c r="W247" s="34"/>
      <c r="X247" s="34"/>
      <c r="Y247" s="34"/>
      <c r="Z247" s="34"/>
      <c r="AA247" s="34"/>
      <c r="AB247" s="34"/>
      <c r="AC247" s="34"/>
      <c r="AD247" s="34"/>
      <c r="AE247" s="34"/>
      <c r="AF247" s="34"/>
    </row>
    <row r="248" spans="1:32" ht="12.75" customHeight="1" x14ac:dyDescent="0.2">
      <c r="A248" s="197"/>
      <c r="B248" s="186"/>
      <c r="C248" s="177"/>
      <c r="D248" s="198"/>
      <c r="E248" s="141">
        <v>2018</v>
      </c>
      <c r="F248" s="14">
        <f t="shared" si="15"/>
        <v>0</v>
      </c>
      <c r="G248" s="14"/>
      <c r="H248" s="14"/>
      <c r="I248" s="14"/>
      <c r="J248" s="14"/>
      <c r="K248" s="151"/>
      <c r="L248" s="53"/>
      <c r="M248" s="34"/>
      <c r="N248" s="34"/>
      <c r="O248" s="34"/>
      <c r="P248" s="34"/>
      <c r="Q248" s="34"/>
      <c r="R248" s="34"/>
      <c r="S248" s="34"/>
      <c r="T248" s="34"/>
      <c r="U248" s="34"/>
      <c r="V248" s="34"/>
      <c r="W248" s="34"/>
      <c r="X248" s="34"/>
      <c r="Y248" s="34"/>
      <c r="Z248" s="34"/>
      <c r="AA248" s="34"/>
      <c r="AB248" s="34"/>
      <c r="AC248" s="34"/>
      <c r="AD248" s="34"/>
      <c r="AE248" s="34"/>
      <c r="AF248" s="34"/>
    </row>
    <row r="249" spans="1:32" ht="12.75" customHeight="1" x14ac:dyDescent="0.2">
      <c r="A249" s="197"/>
      <c r="B249" s="186"/>
      <c r="C249" s="177"/>
      <c r="D249" s="198"/>
      <c r="E249" s="141">
        <v>2019</v>
      </c>
      <c r="F249" s="14">
        <f t="shared" si="15"/>
        <v>0</v>
      </c>
      <c r="G249" s="14"/>
      <c r="H249" s="14"/>
      <c r="I249" s="14"/>
      <c r="J249" s="14"/>
      <c r="K249" s="151"/>
      <c r="L249" s="129" t="s">
        <v>256</v>
      </c>
      <c r="M249" s="129" t="s">
        <v>284</v>
      </c>
      <c r="N249" s="34"/>
      <c r="O249" s="34"/>
      <c r="P249" s="129"/>
      <c r="Q249" s="34"/>
      <c r="R249" s="34"/>
      <c r="S249" s="34"/>
      <c r="T249" s="34"/>
      <c r="U249" s="34"/>
      <c r="V249" s="34"/>
      <c r="W249" s="34"/>
      <c r="X249" s="34"/>
      <c r="Y249" s="34"/>
      <c r="Z249" s="34"/>
      <c r="AA249" s="34"/>
      <c r="AB249" s="34"/>
      <c r="AC249" s="34"/>
      <c r="AD249" s="34"/>
      <c r="AE249" s="34"/>
      <c r="AF249" s="34"/>
    </row>
    <row r="250" spans="1:32" ht="12.75" customHeight="1" x14ac:dyDescent="0.2">
      <c r="A250" s="197"/>
      <c r="B250" s="186"/>
      <c r="C250" s="177"/>
      <c r="D250" s="198"/>
      <c r="E250" s="141">
        <v>2020</v>
      </c>
      <c r="F250" s="14">
        <f t="shared" si="15"/>
        <v>0</v>
      </c>
      <c r="G250" s="14"/>
      <c r="H250" s="14"/>
      <c r="I250" s="14"/>
      <c r="J250" s="14"/>
      <c r="K250" s="151"/>
      <c r="L250" s="129" t="s">
        <v>256</v>
      </c>
      <c r="M250" s="129" t="s">
        <v>285</v>
      </c>
      <c r="N250" s="34"/>
      <c r="O250" s="34"/>
      <c r="P250" s="34"/>
      <c r="Q250" s="34"/>
      <c r="R250" s="34"/>
      <c r="S250" s="34"/>
      <c r="T250" s="34"/>
      <c r="U250" s="34"/>
      <c r="V250" s="34"/>
      <c r="W250" s="34"/>
      <c r="X250" s="34"/>
      <c r="Y250" s="34"/>
      <c r="Z250" s="34"/>
      <c r="AA250" s="34"/>
      <c r="AB250" s="34"/>
      <c r="AC250" s="34"/>
      <c r="AD250" s="34"/>
      <c r="AE250" s="34"/>
      <c r="AF250" s="34"/>
    </row>
    <row r="251" spans="1:32" ht="36" customHeight="1" x14ac:dyDescent="0.2">
      <c r="A251" s="197"/>
      <c r="B251" s="186"/>
      <c r="C251" s="177"/>
      <c r="D251" s="198"/>
      <c r="E251" s="32" t="s">
        <v>18</v>
      </c>
      <c r="F251" s="51">
        <f>SUM(F247:F250)</f>
        <v>4186</v>
      </c>
      <c r="G251" s="51"/>
      <c r="H251" s="51"/>
      <c r="I251" s="51">
        <f>SUM(I247:I250)</f>
        <v>4186</v>
      </c>
      <c r="J251" s="28"/>
      <c r="K251" s="155"/>
    </row>
    <row r="252" spans="1:32" ht="12.75" customHeight="1" x14ac:dyDescent="0.2">
      <c r="A252" s="197" t="s">
        <v>332</v>
      </c>
      <c r="B252" s="165" t="s">
        <v>306</v>
      </c>
      <c r="C252" s="177" t="s">
        <v>61</v>
      </c>
      <c r="D252" s="198" t="s">
        <v>222</v>
      </c>
      <c r="E252" s="141">
        <v>2017</v>
      </c>
      <c r="F252" s="14">
        <f t="shared" ref="F252:F255" si="16">SUM(G252:I252)</f>
        <v>58665.399999999994</v>
      </c>
      <c r="G252" s="14"/>
      <c r="H252" s="14">
        <v>39366.1</v>
      </c>
      <c r="I252" s="14">
        <v>19299.3</v>
      </c>
      <c r="J252" s="14"/>
      <c r="K252" s="154" t="s">
        <v>314</v>
      </c>
      <c r="L252" s="129" t="s">
        <v>260</v>
      </c>
      <c r="M252" s="34"/>
      <c r="N252" s="34"/>
      <c r="O252" s="34"/>
      <c r="P252" s="34"/>
      <c r="Q252" s="34"/>
      <c r="R252" s="34"/>
      <c r="S252" s="34"/>
      <c r="T252" s="34"/>
      <c r="U252" s="34"/>
      <c r="V252" s="34"/>
      <c r="W252" s="34"/>
      <c r="X252" s="34"/>
      <c r="Y252" s="34"/>
      <c r="Z252" s="34"/>
      <c r="AA252" s="34"/>
      <c r="AB252" s="34"/>
      <c r="AC252" s="34"/>
      <c r="AD252" s="34"/>
      <c r="AE252" s="34"/>
      <c r="AF252" s="34"/>
    </row>
    <row r="253" spans="1:32" ht="12.75" customHeight="1" x14ac:dyDescent="0.2">
      <c r="A253" s="197"/>
      <c r="B253" s="186"/>
      <c r="C253" s="177"/>
      <c r="D253" s="198"/>
      <c r="E253" s="141">
        <v>2018</v>
      </c>
      <c r="F253" s="14">
        <f t="shared" si="16"/>
        <v>0</v>
      </c>
      <c r="G253" s="14"/>
      <c r="H253" s="14"/>
      <c r="I253" s="14"/>
      <c r="J253" s="14"/>
      <c r="K253" s="151"/>
      <c r="L253" s="53"/>
      <c r="M253" s="34"/>
      <c r="N253" s="34"/>
      <c r="O253" s="34"/>
      <c r="P253" s="34"/>
      <c r="Q253" s="34"/>
      <c r="R253" s="34"/>
      <c r="S253" s="34"/>
      <c r="T253" s="34"/>
      <c r="U253" s="34"/>
      <c r="V253" s="34"/>
      <c r="W253" s="34"/>
      <c r="X253" s="34"/>
      <c r="Y253" s="34"/>
      <c r="Z253" s="34"/>
      <c r="AA253" s="34"/>
      <c r="AB253" s="34"/>
      <c r="AC253" s="34"/>
      <c r="AD253" s="34"/>
      <c r="AE253" s="34"/>
      <c r="AF253" s="34"/>
    </row>
    <row r="254" spans="1:32" ht="12.75" customHeight="1" x14ac:dyDescent="0.2">
      <c r="A254" s="197"/>
      <c r="B254" s="186"/>
      <c r="C254" s="177"/>
      <c r="D254" s="198"/>
      <c r="E254" s="141">
        <v>2019</v>
      </c>
      <c r="F254" s="14">
        <f t="shared" si="16"/>
        <v>0</v>
      </c>
      <c r="G254" s="14"/>
      <c r="H254" s="14"/>
      <c r="I254" s="14"/>
      <c r="J254" s="14"/>
      <c r="K254" s="151"/>
      <c r="L254" s="129" t="s">
        <v>256</v>
      </c>
      <c r="M254" s="129" t="s">
        <v>284</v>
      </c>
      <c r="N254" s="34"/>
      <c r="O254" s="34"/>
      <c r="P254" s="129"/>
      <c r="Q254" s="34"/>
      <c r="R254" s="34"/>
      <c r="S254" s="34"/>
      <c r="T254" s="34"/>
      <c r="U254" s="34"/>
      <c r="V254" s="34"/>
      <c r="W254" s="34"/>
      <c r="X254" s="34"/>
      <c r="Y254" s="34"/>
      <c r="Z254" s="34"/>
      <c r="AA254" s="34"/>
      <c r="AB254" s="34"/>
      <c r="AC254" s="34"/>
      <c r="AD254" s="34"/>
      <c r="AE254" s="34"/>
      <c r="AF254" s="34"/>
    </row>
    <row r="255" spans="1:32" ht="12.75" customHeight="1" x14ac:dyDescent="0.2">
      <c r="A255" s="197"/>
      <c r="B255" s="186"/>
      <c r="C255" s="177"/>
      <c r="D255" s="198"/>
      <c r="E255" s="141">
        <v>2020</v>
      </c>
      <c r="F255" s="14">
        <f t="shared" si="16"/>
        <v>0</v>
      </c>
      <c r="G255" s="14"/>
      <c r="H255" s="14"/>
      <c r="I255" s="14"/>
      <c r="J255" s="14"/>
      <c r="K255" s="151"/>
      <c r="L255" s="129" t="s">
        <v>256</v>
      </c>
      <c r="M255" s="129" t="s">
        <v>285</v>
      </c>
      <c r="N255" s="34"/>
      <c r="O255" s="34"/>
      <c r="P255" s="34"/>
      <c r="Q255" s="34"/>
      <c r="R255" s="34"/>
      <c r="S255" s="34"/>
      <c r="T255" s="34"/>
      <c r="U255" s="34"/>
      <c r="V255" s="34"/>
      <c r="W255" s="34"/>
      <c r="X255" s="34"/>
      <c r="Y255" s="34"/>
      <c r="Z255" s="34"/>
      <c r="AA255" s="34"/>
      <c r="AB255" s="34"/>
      <c r="AC255" s="34"/>
      <c r="AD255" s="34"/>
      <c r="AE255" s="34"/>
      <c r="AF255" s="34"/>
    </row>
    <row r="256" spans="1:32" ht="36" customHeight="1" x14ac:dyDescent="0.2">
      <c r="A256" s="197"/>
      <c r="B256" s="186"/>
      <c r="C256" s="177"/>
      <c r="D256" s="198"/>
      <c r="E256" s="32" t="s">
        <v>18</v>
      </c>
      <c r="F256" s="51">
        <f>SUM(F252:F255)</f>
        <v>58665.399999999994</v>
      </c>
      <c r="G256" s="51"/>
      <c r="H256" s="51">
        <f>SUM(H252:H255)</f>
        <v>39366.1</v>
      </c>
      <c r="I256" s="51">
        <f>SUM(I252:I255)</f>
        <v>19299.3</v>
      </c>
      <c r="J256" s="28"/>
      <c r="K256" s="155"/>
    </row>
    <row r="257" spans="1:36" ht="16.5" customHeight="1" x14ac:dyDescent="0.2">
      <c r="A257" s="199" t="s">
        <v>224</v>
      </c>
      <c r="B257" s="200"/>
      <c r="C257" s="200"/>
      <c r="D257" s="200"/>
      <c r="E257" s="32" t="s">
        <v>18</v>
      </c>
      <c r="F257" s="17">
        <f>F246+F232+F219+F206+F199+F238+F222+F224+F211+F251+F256</f>
        <v>585024.55000000005</v>
      </c>
      <c r="G257" s="19"/>
      <c r="H257" s="17">
        <f>H232+H219+H206+H199+H238+H222+H224+H256</f>
        <v>317048.8</v>
      </c>
      <c r="I257" s="17">
        <f>I246+I232+I219+I206+I199+I238+I222+I224+I211+I251+I256</f>
        <v>267975.75</v>
      </c>
      <c r="J257" s="44"/>
      <c r="K257" s="43"/>
    </row>
    <row r="258" spans="1:36" ht="18.75" customHeight="1" x14ac:dyDescent="0.25">
      <c r="A258" s="201" t="s">
        <v>63</v>
      </c>
      <c r="B258" s="201"/>
      <c r="C258" s="201"/>
      <c r="D258" s="201"/>
      <c r="E258" s="201"/>
      <c r="F258" s="201"/>
      <c r="G258" s="201"/>
      <c r="H258" s="201"/>
      <c r="I258" s="201"/>
      <c r="J258" s="201"/>
      <c r="K258" s="201"/>
    </row>
    <row r="259" spans="1:36" ht="31.5" customHeight="1" x14ac:dyDescent="0.2">
      <c r="A259" s="202" t="s">
        <v>64</v>
      </c>
      <c r="B259" s="203"/>
      <c r="C259" s="203"/>
      <c r="D259" s="203"/>
      <c r="E259" s="203"/>
      <c r="F259" s="203"/>
      <c r="G259" s="203"/>
      <c r="H259" s="203"/>
      <c r="I259" s="203"/>
      <c r="J259" s="203"/>
      <c r="K259" s="203"/>
      <c r="L259" s="54"/>
      <c r="M259" s="54"/>
      <c r="N259" s="54"/>
      <c r="O259" s="54"/>
      <c r="P259" s="54"/>
      <c r="Q259" s="54"/>
      <c r="R259" s="54"/>
      <c r="S259" s="54"/>
      <c r="T259" s="54"/>
      <c r="U259" s="54"/>
      <c r="V259" s="54"/>
      <c r="W259" s="54"/>
      <c r="X259" s="54"/>
      <c r="Y259" s="54"/>
      <c r="Z259" s="54"/>
      <c r="AA259" s="54"/>
      <c r="AB259" s="54"/>
      <c r="AC259" s="54"/>
      <c r="AD259" s="54"/>
      <c r="AE259" s="54"/>
      <c r="AF259" s="54"/>
      <c r="AG259" s="34"/>
      <c r="AH259" s="34"/>
      <c r="AI259" s="34"/>
      <c r="AJ259" s="34"/>
    </row>
    <row r="260" spans="1:36" x14ac:dyDescent="0.2">
      <c r="A260" s="197" t="s">
        <v>65</v>
      </c>
      <c r="B260" s="204" t="s">
        <v>241</v>
      </c>
      <c r="C260" s="194" t="s">
        <v>61</v>
      </c>
      <c r="D260" s="154" t="s">
        <v>222</v>
      </c>
      <c r="E260" s="141">
        <v>2015</v>
      </c>
      <c r="F260" s="14">
        <f t="shared" ref="F260:F265" si="17">SUM(G260:J260)</f>
        <v>471461.89999999997</v>
      </c>
      <c r="G260" s="14"/>
      <c r="H260" s="14">
        <f>457488.8+13973.1</f>
        <v>471461.89999999997</v>
      </c>
      <c r="I260" s="14"/>
      <c r="J260" s="14"/>
      <c r="K260" s="154" t="s">
        <v>307</v>
      </c>
    </row>
    <row r="261" spans="1:36" x14ac:dyDescent="0.2">
      <c r="A261" s="197"/>
      <c r="B261" s="205"/>
      <c r="C261" s="166"/>
      <c r="D261" s="151"/>
      <c r="E261" s="141">
        <v>2016</v>
      </c>
      <c r="F261" s="14">
        <f t="shared" si="17"/>
        <v>485636.2</v>
      </c>
      <c r="G261" s="14"/>
      <c r="H261" s="14">
        <f>503346-17709.8</f>
        <v>485636.2</v>
      </c>
      <c r="I261" s="14"/>
      <c r="J261" s="14"/>
      <c r="K261" s="151"/>
      <c r="L261" s="124" t="s">
        <v>265</v>
      </c>
    </row>
    <row r="262" spans="1:36" x14ac:dyDescent="0.2">
      <c r="A262" s="197"/>
      <c r="B262" s="205"/>
      <c r="C262" s="166"/>
      <c r="D262" s="151"/>
      <c r="E262" s="141">
        <v>2017</v>
      </c>
      <c r="F262" s="14">
        <f t="shared" si="17"/>
        <v>478983.8</v>
      </c>
      <c r="G262" s="14"/>
      <c r="H262" s="14">
        <v>478983.8</v>
      </c>
      <c r="I262" s="14"/>
      <c r="J262" s="14"/>
      <c r="K262" s="151"/>
      <c r="L262" s="124" t="s">
        <v>256</v>
      </c>
      <c r="M262" s="131"/>
      <c r="N262" s="124" t="s">
        <v>287</v>
      </c>
    </row>
    <row r="263" spans="1:36" x14ac:dyDescent="0.2">
      <c r="A263" s="197"/>
      <c r="B263" s="205"/>
      <c r="C263" s="166"/>
      <c r="D263" s="151"/>
      <c r="E263" s="141">
        <v>2018</v>
      </c>
      <c r="F263" s="14">
        <f t="shared" si="17"/>
        <v>406742.8</v>
      </c>
      <c r="G263" s="14"/>
      <c r="H263" s="14">
        <f>731140-0-324397.2</f>
        <v>406742.8</v>
      </c>
      <c r="I263" s="14"/>
      <c r="J263" s="14"/>
      <c r="K263" s="151"/>
      <c r="L263" s="124" t="s">
        <v>256</v>
      </c>
      <c r="M263" s="131"/>
      <c r="N263" s="124" t="s">
        <v>288</v>
      </c>
    </row>
    <row r="264" spans="1:36" x14ac:dyDescent="0.2">
      <c r="A264" s="197"/>
      <c r="B264" s="205"/>
      <c r="C264" s="166"/>
      <c r="D264" s="151"/>
      <c r="E264" s="141">
        <v>2019</v>
      </c>
      <c r="F264" s="14">
        <f t="shared" si="17"/>
        <v>426556.3</v>
      </c>
      <c r="G264" s="14"/>
      <c r="H264" s="14">
        <f>773900-347343.7</f>
        <v>426556.3</v>
      </c>
      <c r="I264" s="14"/>
      <c r="J264" s="14"/>
      <c r="K264" s="151"/>
      <c r="L264" s="124" t="s">
        <v>256</v>
      </c>
      <c r="M264" s="131"/>
      <c r="N264" s="124" t="s">
        <v>289</v>
      </c>
    </row>
    <row r="265" spans="1:36" x14ac:dyDescent="0.2">
      <c r="A265" s="197"/>
      <c r="B265" s="205"/>
      <c r="C265" s="166"/>
      <c r="D265" s="151"/>
      <c r="E265" s="141">
        <v>2020</v>
      </c>
      <c r="F265" s="14">
        <f t="shared" si="17"/>
        <v>823140</v>
      </c>
      <c r="G265" s="14"/>
      <c r="H265" s="14">
        <v>823140</v>
      </c>
      <c r="I265" s="14"/>
      <c r="J265" s="14"/>
      <c r="K265" s="151"/>
      <c r="L265" s="34"/>
      <c r="M265" s="34"/>
      <c r="N265" s="34"/>
      <c r="O265" s="34"/>
      <c r="P265" s="34"/>
      <c r="Q265" s="34"/>
      <c r="R265" s="34"/>
      <c r="S265" s="34"/>
      <c r="T265" s="34"/>
      <c r="U265" s="34"/>
      <c r="V265" s="34"/>
      <c r="W265" s="34"/>
      <c r="X265" s="34"/>
      <c r="Y265" s="34"/>
      <c r="Z265" s="34"/>
      <c r="AA265" s="34"/>
      <c r="AB265" s="34"/>
      <c r="AC265" s="34"/>
      <c r="AD265" s="34"/>
      <c r="AE265" s="34"/>
      <c r="AF265" s="34"/>
    </row>
    <row r="266" spans="1:36" ht="78.75" customHeight="1" x14ac:dyDescent="0.2">
      <c r="A266" s="197"/>
      <c r="B266" s="206"/>
      <c r="C266" s="207"/>
      <c r="D266" s="151"/>
      <c r="E266" s="24" t="s">
        <v>18</v>
      </c>
      <c r="F266" s="13">
        <f>SUM(F260:F265)</f>
        <v>3092521</v>
      </c>
      <c r="G266" s="13"/>
      <c r="H266" s="13">
        <f>SUM(H260:H265)</f>
        <v>3092521</v>
      </c>
      <c r="I266" s="13"/>
      <c r="J266" s="13"/>
      <c r="K266" s="155"/>
      <c r="L266" s="34"/>
      <c r="M266" s="34"/>
      <c r="N266" s="34"/>
      <c r="O266" s="34"/>
      <c r="P266" s="34"/>
      <c r="Q266" s="34"/>
      <c r="R266" s="34"/>
      <c r="S266" s="34"/>
      <c r="T266" s="34"/>
      <c r="U266" s="34"/>
      <c r="V266" s="34"/>
      <c r="W266" s="34"/>
      <c r="X266" s="34"/>
      <c r="Y266" s="34"/>
      <c r="Z266" s="34"/>
      <c r="AA266" s="34"/>
      <c r="AB266" s="34"/>
      <c r="AC266" s="34"/>
      <c r="AD266" s="34"/>
      <c r="AE266" s="34"/>
      <c r="AF266" s="34"/>
    </row>
    <row r="267" spans="1:36" x14ac:dyDescent="0.2">
      <c r="A267" s="197" t="s">
        <v>333</v>
      </c>
      <c r="B267" s="204" t="s">
        <v>308</v>
      </c>
      <c r="C267" s="194" t="s">
        <v>61</v>
      </c>
      <c r="D267" s="154" t="s">
        <v>222</v>
      </c>
      <c r="E267" s="141">
        <v>2017</v>
      </c>
      <c r="F267" s="14">
        <f t="shared" ref="F267:F270" si="18">SUM(G267:J267)</f>
        <v>3265.6</v>
      </c>
      <c r="G267" s="14"/>
      <c r="H267" s="14">
        <v>3265.6</v>
      </c>
      <c r="I267" s="14"/>
      <c r="J267" s="14"/>
      <c r="K267" s="154" t="s">
        <v>316</v>
      </c>
    </row>
    <row r="268" spans="1:36" x14ac:dyDescent="0.2">
      <c r="A268" s="197"/>
      <c r="B268" s="205"/>
      <c r="C268" s="166"/>
      <c r="D268" s="151"/>
      <c r="E268" s="141">
        <v>2018</v>
      </c>
      <c r="F268" s="14">
        <f t="shared" si="18"/>
        <v>0</v>
      </c>
      <c r="G268" s="14"/>
      <c r="H268" s="14"/>
      <c r="I268" s="14"/>
      <c r="J268" s="14"/>
      <c r="K268" s="151"/>
      <c r="L268" s="124" t="s">
        <v>265</v>
      </c>
    </row>
    <row r="269" spans="1:36" x14ac:dyDescent="0.2">
      <c r="A269" s="197"/>
      <c r="B269" s="205"/>
      <c r="C269" s="166"/>
      <c r="D269" s="151"/>
      <c r="E269" s="141">
        <v>2019</v>
      </c>
      <c r="F269" s="14">
        <f t="shared" si="18"/>
        <v>0</v>
      </c>
      <c r="G269" s="14"/>
      <c r="H269" s="14"/>
      <c r="I269" s="14"/>
      <c r="J269" s="14"/>
      <c r="K269" s="151"/>
      <c r="L269" s="124" t="s">
        <v>256</v>
      </c>
      <c r="M269" s="131"/>
      <c r="N269" s="124" t="s">
        <v>287</v>
      </c>
    </row>
    <row r="270" spans="1:36" x14ac:dyDescent="0.2">
      <c r="A270" s="197"/>
      <c r="B270" s="205"/>
      <c r="C270" s="166"/>
      <c r="D270" s="151"/>
      <c r="E270" s="141">
        <v>2020</v>
      </c>
      <c r="F270" s="14">
        <f t="shared" si="18"/>
        <v>0</v>
      </c>
      <c r="G270" s="14"/>
      <c r="H270" s="14"/>
      <c r="I270" s="14"/>
      <c r="J270" s="14"/>
      <c r="K270" s="151"/>
      <c r="L270" s="124" t="s">
        <v>256</v>
      </c>
      <c r="M270" s="131"/>
      <c r="N270" s="124" t="s">
        <v>288</v>
      </c>
    </row>
    <row r="271" spans="1:36" ht="86.25" customHeight="1" x14ac:dyDescent="0.2">
      <c r="A271" s="197"/>
      <c r="B271" s="206"/>
      <c r="C271" s="207"/>
      <c r="D271" s="151"/>
      <c r="E271" s="24" t="s">
        <v>18</v>
      </c>
      <c r="F271" s="13">
        <f>SUM(F267:F270)</f>
        <v>3265.6</v>
      </c>
      <c r="G271" s="13"/>
      <c r="H271" s="13">
        <f>SUM(H267:H270)</f>
        <v>3265.6</v>
      </c>
      <c r="I271" s="13"/>
      <c r="J271" s="13"/>
      <c r="K271" s="155"/>
      <c r="L271" s="34"/>
      <c r="M271" s="34"/>
      <c r="N271" s="34"/>
      <c r="O271" s="34"/>
      <c r="P271" s="34"/>
      <c r="Q271" s="34"/>
      <c r="R271" s="34"/>
      <c r="S271" s="34"/>
      <c r="T271" s="34"/>
      <c r="U271" s="34"/>
      <c r="V271" s="34"/>
      <c r="W271" s="34"/>
      <c r="X271" s="34"/>
      <c r="Y271" s="34"/>
      <c r="Z271" s="34"/>
      <c r="AA271" s="34"/>
      <c r="AB271" s="34"/>
      <c r="AC271" s="34"/>
      <c r="AD271" s="34"/>
      <c r="AE271" s="34"/>
      <c r="AF271" s="34"/>
    </row>
    <row r="272" spans="1:36" x14ac:dyDescent="0.2">
      <c r="A272" s="195" t="s">
        <v>66</v>
      </c>
      <c r="B272" s="210"/>
      <c r="C272" s="210"/>
      <c r="D272" s="210"/>
      <c r="E272" s="210"/>
      <c r="F272" s="210"/>
      <c r="G272" s="210"/>
      <c r="H272" s="210"/>
      <c r="I272" s="210"/>
      <c r="J272" s="210"/>
      <c r="K272" s="210"/>
      <c r="L272" s="55"/>
      <c r="M272" s="55"/>
      <c r="N272" s="55"/>
      <c r="O272" s="55"/>
      <c r="P272" s="55"/>
      <c r="Q272" s="55"/>
      <c r="R272" s="55"/>
      <c r="S272" s="55"/>
      <c r="T272" s="55"/>
      <c r="U272" s="55"/>
      <c r="V272" s="55"/>
      <c r="W272" s="55"/>
      <c r="X272" s="55"/>
      <c r="Y272" s="55"/>
      <c r="Z272" s="55"/>
      <c r="AA272" s="55"/>
      <c r="AB272" s="55"/>
      <c r="AC272" s="55"/>
      <c r="AD272" s="55"/>
      <c r="AE272" s="55"/>
      <c r="AF272" s="55"/>
    </row>
    <row r="273" spans="1:14" x14ac:dyDescent="0.2">
      <c r="A273" s="190" t="s">
        <v>334</v>
      </c>
      <c r="B273" s="211" t="s">
        <v>219</v>
      </c>
      <c r="C273" s="194" t="s">
        <v>61</v>
      </c>
      <c r="D273" s="154" t="s">
        <v>222</v>
      </c>
      <c r="E273" s="149">
        <v>2015</v>
      </c>
      <c r="F273" s="12">
        <f t="shared" ref="F273:F278" si="19">SUM(H273:I273)</f>
        <v>23806.500000000004</v>
      </c>
      <c r="G273" s="12"/>
      <c r="H273" s="12">
        <f>25365.4-1504.8-54.1</f>
        <v>23806.500000000004</v>
      </c>
      <c r="I273" s="12"/>
      <c r="J273" s="12"/>
      <c r="K273" s="154" t="s">
        <v>151</v>
      </c>
    </row>
    <row r="274" spans="1:14" x14ac:dyDescent="0.2">
      <c r="A274" s="191"/>
      <c r="B274" s="212"/>
      <c r="C274" s="166"/>
      <c r="D274" s="151"/>
      <c r="E274" s="141">
        <v>2016</v>
      </c>
      <c r="F274" s="14">
        <f t="shared" si="19"/>
        <v>12245.599999999999</v>
      </c>
      <c r="G274" s="14"/>
      <c r="H274" s="14">
        <f>12116.8-44.2+173</f>
        <v>12245.599999999999</v>
      </c>
      <c r="I274" s="14"/>
      <c r="J274" s="14"/>
      <c r="K274" s="151"/>
    </row>
    <row r="275" spans="1:14" x14ac:dyDescent="0.2">
      <c r="A275" s="191"/>
      <c r="B275" s="212"/>
      <c r="C275" s="166"/>
      <c r="D275" s="151"/>
      <c r="E275" s="141">
        <v>2017</v>
      </c>
      <c r="F275" s="14">
        <f t="shared" si="19"/>
        <v>12346.000000000002</v>
      </c>
      <c r="G275" s="14"/>
      <c r="H275" s="14">
        <f>27699.9-15353.9</f>
        <v>12346.000000000002</v>
      </c>
      <c r="I275" s="14"/>
      <c r="J275" s="14"/>
      <c r="K275" s="151"/>
      <c r="L275" s="124" t="s">
        <v>256</v>
      </c>
      <c r="N275" s="124" t="s">
        <v>290</v>
      </c>
    </row>
    <row r="276" spans="1:14" x14ac:dyDescent="0.2">
      <c r="A276" s="191"/>
      <c r="B276" s="212"/>
      <c r="C276" s="166"/>
      <c r="D276" s="151"/>
      <c r="E276" s="141">
        <v>2018</v>
      </c>
      <c r="F276" s="14">
        <f t="shared" si="19"/>
        <v>12346</v>
      </c>
      <c r="G276" s="14"/>
      <c r="H276" s="14">
        <f>11926+420</f>
        <v>12346</v>
      </c>
      <c r="I276" s="14"/>
      <c r="J276" s="14"/>
      <c r="K276" s="151"/>
      <c r="L276" s="4" t="s">
        <v>255</v>
      </c>
      <c r="N276" s="4" t="s">
        <v>262</v>
      </c>
    </row>
    <row r="277" spans="1:14" x14ac:dyDescent="0.2">
      <c r="A277" s="191"/>
      <c r="B277" s="212"/>
      <c r="C277" s="166"/>
      <c r="D277" s="151"/>
      <c r="E277" s="141">
        <v>2019</v>
      </c>
      <c r="F277" s="14">
        <f t="shared" si="19"/>
        <v>12346</v>
      </c>
      <c r="G277" s="14"/>
      <c r="H277" s="14">
        <f>11926+420</f>
        <v>12346</v>
      </c>
      <c r="I277" s="14"/>
      <c r="J277" s="14"/>
      <c r="K277" s="151"/>
      <c r="L277" s="4" t="s">
        <v>255</v>
      </c>
      <c r="N277" s="4" t="s">
        <v>262</v>
      </c>
    </row>
    <row r="278" spans="1:14" x14ac:dyDescent="0.2">
      <c r="A278" s="191"/>
      <c r="B278" s="212"/>
      <c r="C278" s="166"/>
      <c r="D278" s="151"/>
      <c r="E278" s="141">
        <v>2020</v>
      </c>
      <c r="F278" s="14">
        <f t="shared" si="19"/>
        <v>0</v>
      </c>
      <c r="G278" s="14"/>
      <c r="H278" s="14"/>
      <c r="I278" s="14"/>
      <c r="J278" s="14"/>
      <c r="K278" s="151"/>
    </row>
    <row r="279" spans="1:14" ht="13.5" thickBot="1" x14ac:dyDescent="0.25">
      <c r="A279" s="192"/>
      <c r="B279" s="213"/>
      <c r="C279" s="207"/>
      <c r="D279" s="151"/>
      <c r="E279" s="24" t="s">
        <v>18</v>
      </c>
      <c r="F279" s="13">
        <f>SUM(F273:F278)</f>
        <v>73090.100000000006</v>
      </c>
      <c r="G279" s="13"/>
      <c r="H279" s="13">
        <f>SUM(H273:H278)</f>
        <v>73090.100000000006</v>
      </c>
      <c r="I279" s="13"/>
      <c r="J279" s="13"/>
      <c r="K279" s="155"/>
    </row>
    <row r="280" spans="1:14" x14ac:dyDescent="0.2">
      <c r="A280" s="190" t="s">
        <v>73</v>
      </c>
      <c r="B280" s="211" t="s">
        <v>309</v>
      </c>
      <c r="C280" s="194" t="s">
        <v>61</v>
      </c>
      <c r="D280" s="154" t="s">
        <v>222</v>
      </c>
      <c r="E280" s="149">
        <v>2017</v>
      </c>
      <c r="F280" s="12">
        <f t="shared" ref="F280:F283" si="20">SUM(H280:I280)</f>
        <v>102.2</v>
      </c>
      <c r="G280" s="12"/>
      <c r="H280" s="12">
        <v>102.2</v>
      </c>
      <c r="I280" s="12"/>
      <c r="J280" s="12"/>
      <c r="K280" s="154" t="s">
        <v>151</v>
      </c>
    </row>
    <row r="281" spans="1:14" x14ac:dyDescent="0.2">
      <c r="A281" s="191"/>
      <c r="B281" s="212"/>
      <c r="C281" s="166"/>
      <c r="D281" s="151"/>
      <c r="E281" s="141">
        <v>2018</v>
      </c>
      <c r="F281" s="14">
        <f t="shared" si="20"/>
        <v>0</v>
      </c>
      <c r="G281" s="14"/>
      <c r="H281" s="14"/>
      <c r="I281" s="14"/>
      <c r="J281" s="14"/>
      <c r="K281" s="151"/>
    </row>
    <row r="282" spans="1:14" x14ac:dyDescent="0.2">
      <c r="A282" s="191"/>
      <c r="B282" s="212"/>
      <c r="C282" s="166"/>
      <c r="D282" s="151"/>
      <c r="E282" s="141">
        <v>2019</v>
      </c>
      <c r="F282" s="14">
        <f t="shared" si="20"/>
        <v>0</v>
      </c>
      <c r="G282" s="14"/>
      <c r="H282" s="14"/>
      <c r="I282" s="14"/>
      <c r="J282" s="14"/>
      <c r="K282" s="151"/>
      <c r="L282" s="124" t="s">
        <v>256</v>
      </c>
      <c r="N282" s="124" t="s">
        <v>290</v>
      </c>
    </row>
    <row r="283" spans="1:14" x14ac:dyDescent="0.2">
      <c r="A283" s="191"/>
      <c r="B283" s="212"/>
      <c r="C283" s="166"/>
      <c r="D283" s="151"/>
      <c r="E283" s="141">
        <v>2020</v>
      </c>
      <c r="F283" s="14">
        <f t="shared" si="20"/>
        <v>0</v>
      </c>
      <c r="G283" s="14"/>
      <c r="H283" s="14"/>
      <c r="I283" s="14"/>
      <c r="J283" s="14"/>
      <c r="K283" s="151"/>
      <c r="L283" s="4" t="s">
        <v>255</v>
      </c>
      <c r="N283" s="4" t="s">
        <v>262</v>
      </c>
    </row>
    <row r="284" spans="1:14" ht="39.75" customHeight="1" thickBot="1" x14ac:dyDescent="0.25">
      <c r="A284" s="192"/>
      <c r="B284" s="213"/>
      <c r="C284" s="207"/>
      <c r="D284" s="151"/>
      <c r="E284" s="24" t="s">
        <v>18</v>
      </c>
      <c r="F284" s="13">
        <f>SUM(F280:F283)</f>
        <v>102.2</v>
      </c>
      <c r="G284" s="13"/>
      <c r="H284" s="13">
        <f>SUM(H280:H283)</f>
        <v>102.2</v>
      </c>
      <c r="I284" s="13"/>
      <c r="J284" s="13"/>
      <c r="K284" s="155"/>
    </row>
    <row r="285" spans="1:14" x14ac:dyDescent="0.2">
      <c r="A285" s="191" t="s">
        <v>127</v>
      </c>
      <c r="B285" s="316" t="s">
        <v>152</v>
      </c>
      <c r="C285" s="194" t="s">
        <v>61</v>
      </c>
      <c r="D285" s="154" t="s">
        <v>222</v>
      </c>
      <c r="E285" s="141">
        <v>2015</v>
      </c>
      <c r="F285" s="14"/>
      <c r="G285" s="14"/>
      <c r="H285" s="14"/>
      <c r="I285" s="14"/>
      <c r="J285" s="14"/>
      <c r="K285" s="154" t="s">
        <v>153</v>
      </c>
    </row>
    <row r="286" spans="1:14" x14ac:dyDescent="0.2">
      <c r="A286" s="191"/>
      <c r="B286" s="212"/>
      <c r="C286" s="166"/>
      <c r="D286" s="151"/>
      <c r="E286" s="141">
        <v>2016</v>
      </c>
      <c r="F286" s="14"/>
      <c r="G286" s="14"/>
      <c r="H286" s="14"/>
      <c r="I286" s="14"/>
      <c r="J286" s="14"/>
      <c r="K286" s="151"/>
    </row>
    <row r="287" spans="1:14" x14ac:dyDescent="0.2">
      <c r="A287" s="191"/>
      <c r="B287" s="212"/>
      <c r="C287" s="166"/>
      <c r="D287" s="151"/>
      <c r="E287" s="141">
        <v>2017</v>
      </c>
      <c r="F287" s="14"/>
      <c r="G287" s="14"/>
      <c r="H287" s="14"/>
      <c r="I287" s="14"/>
      <c r="J287" s="14"/>
      <c r="K287" s="151"/>
    </row>
    <row r="288" spans="1:14" x14ac:dyDescent="0.2">
      <c r="A288" s="191"/>
      <c r="B288" s="212"/>
      <c r="C288" s="166"/>
      <c r="D288" s="151"/>
      <c r="E288" s="141">
        <v>2018</v>
      </c>
      <c r="F288" s="14"/>
      <c r="G288" s="14"/>
      <c r="H288" s="14"/>
      <c r="I288" s="14"/>
      <c r="J288" s="14"/>
      <c r="K288" s="151"/>
    </row>
    <row r="289" spans="1:32" x14ac:dyDescent="0.2">
      <c r="A289" s="191"/>
      <c r="B289" s="212"/>
      <c r="C289" s="166"/>
      <c r="D289" s="151"/>
      <c r="E289" s="141">
        <v>2019</v>
      </c>
      <c r="F289" s="14"/>
      <c r="G289" s="14"/>
      <c r="H289" s="14"/>
      <c r="I289" s="14"/>
      <c r="J289" s="14"/>
      <c r="K289" s="151"/>
    </row>
    <row r="290" spans="1:32" x14ac:dyDescent="0.2">
      <c r="A290" s="191"/>
      <c r="B290" s="212"/>
      <c r="C290" s="166"/>
      <c r="D290" s="151"/>
      <c r="E290" s="141">
        <v>2020</v>
      </c>
      <c r="F290" s="14"/>
      <c r="G290" s="14"/>
      <c r="H290" s="14"/>
      <c r="I290" s="14"/>
      <c r="J290" s="14"/>
      <c r="K290" s="151"/>
    </row>
    <row r="291" spans="1:32" ht="13.5" thickBot="1" x14ac:dyDescent="0.25">
      <c r="A291" s="192"/>
      <c r="B291" s="212"/>
      <c r="C291" s="166"/>
      <c r="D291" s="151"/>
      <c r="E291" s="32" t="s">
        <v>18</v>
      </c>
      <c r="F291" s="28"/>
      <c r="G291" s="28"/>
      <c r="H291" s="28"/>
      <c r="I291" s="28"/>
      <c r="J291" s="28"/>
      <c r="K291" s="151"/>
    </row>
    <row r="292" spans="1:32" ht="15.75" thickBot="1" x14ac:dyDescent="0.25">
      <c r="A292" s="318" t="s">
        <v>211</v>
      </c>
      <c r="B292" s="319"/>
      <c r="C292" s="319"/>
      <c r="D292" s="319"/>
      <c r="E292" s="121"/>
      <c r="F292" s="119">
        <f>F266+F279+F284+F271</f>
        <v>3168978.9000000004</v>
      </c>
      <c r="G292" s="119"/>
      <c r="H292" s="119">
        <f>H266+H279+H284+H271</f>
        <v>3168978.9000000004</v>
      </c>
      <c r="I292" s="122"/>
      <c r="J292" s="122"/>
      <c r="K292" s="123"/>
    </row>
    <row r="293" spans="1:32" ht="16.5" customHeight="1" thickBot="1" x14ac:dyDescent="0.3">
      <c r="A293" s="323" t="s">
        <v>193</v>
      </c>
      <c r="B293" s="324"/>
      <c r="C293" s="324"/>
      <c r="D293" s="324"/>
      <c r="E293" s="324"/>
      <c r="F293" s="324"/>
      <c r="G293" s="324"/>
      <c r="H293" s="324"/>
      <c r="I293" s="324"/>
      <c r="J293" s="324"/>
      <c r="K293" s="324"/>
      <c r="L293" s="106"/>
      <c r="M293" s="106"/>
      <c r="N293" s="106"/>
      <c r="O293" s="106"/>
      <c r="P293" s="106"/>
      <c r="Q293" s="106"/>
      <c r="R293" s="106"/>
      <c r="S293" s="106"/>
      <c r="T293" s="106"/>
      <c r="U293" s="106"/>
      <c r="V293" s="106"/>
      <c r="W293" s="106"/>
      <c r="X293" s="106"/>
      <c r="Y293" s="106"/>
      <c r="Z293" s="106"/>
      <c r="AA293" s="106"/>
      <c r="AB293" s="106"/>
      <c r="AC293" s="106"/>
      <c r="AD293" s="106"/>
      <c r="AE293" s="106"/>
      <c r="AF293" s="107"/>
    </row>
    <row r="294" spans="1:32" ht="135" customHeight="1" thickBot="1" x14ac:dyDescent="0.25">
      <c r="A294" s="320" t="s">
        <v>67</v>
      </c>
      <c r="B294" s="321"/>
      <c r="C294" s="321"/>
      <c r="D294" s="321"/>
      <c r="E294" s="321"/>
      <c r="F294" s="321"/>
      <c r="G294" s="321"/>
      <c r="H294" s="321"/>
      <c r="I294" s="321"/>
      <c r="J294" s="321"/>
      <c r="K294" s="322"/>
    </row>
    <row r="295" spans="1:32" x14ac:dyDescent="0.2">
      <c r="A295" s="191" t="s">
        <v>95</v>
      </c>
      <c r="B295" s="316" t="s">
        <v>242</v>
      </c>
      <c r="C295" s="194" t="s">
        <v>61</v>
      </c>
      <c r="D295" s="154" t="s">
        <v>222</v>
      </c>
      <c r="E295" s="141">
        <v>2015</v>
      </c>
      <c r="F295" s="14">
        <f t="shared" ref="F295:F300" si="21">SUM(G295:H295)</f>
        <v>29177</v>
      </c>
      <c r="G295" s="14"/>
      <c r="H295" s="14">
        <f>25777+3400</f>
        <v>29177</v>
      </c>
      <c r="I295" s="14"/>
      <c r="J295" s="14"/>
      <c r="K295" s="154" t="s">
        <v>154</v>
      </c>
    </row>
    <row r="296" spans="1:32" x14ac:dyDescent="0.2">
      <c r="A296" s="191"/>
      <c r="B296" s="317"/>
      <c r="C296" s="166"/>
      <c r="D296" s="151"/>
      <c r="E296" s="141">
        <v>2016</v>
      </c>
      <c r="F296" s="14">
        <f t="shared" si="21"/>
        <v>31021</v>
      </c>
      <c r="G296" s="14"/>
      <c r="H296" s="14">
        <f>32323-1302</f>
        <v>31021</v>
      </c>
      <c r="I296" s="14"/>
      <c r="J296" s="14"/>
      <c r="K296" s="151"/>
      <c r="L296" s="124" t="s">
        <v>266</v>
      </c>
    </row>
    <row r="297" spans="1:32" x14ac:dyDescent="0.2">
      <c r="A297" s="191"/>
      <c r="B297" s="317"/>
      <c r="C297" s="166"/>
      <c r="D297" s="151"/>
      <c r="E297" s="141">
        <v>2017</v>
      </c>
      <c r="F297" s="14">
        <f t="shared" si="21"/>
        <v>31493.1</v>
      </c>
      <c r="G297" s="14"/>
      <c r="H297" s="14">
        <v>31493.1</v>
      </c>
      <c r="I297" s="14"/>
      <c r="J297" s="14"/>
      <c r="K297" s="151"/>
      <c r="L297" s="124" t="s">
        <v>263</v>
      </c>
    </row>
    <row r="298" spans="1:32" x14ac:dyDescent="0.2">
      <c r="A298" s="191"/>
      <c r="B298" s="317"/>
      <c r="C298" s="166"/>
      <c r="D298" s="151"/>
      <c r="E298" s="141">
        <v>2018</v>
      </c>
      <c r="F298" s="14">
        <f t="shared" si="21"/>
        <v>28738.799999999999</v>
      </c>
      <c r="G298" s="14"/>
      <c r="H298" s="14">
        <f>34091.5-5352.7</f>
        <v>28738.799999999999</v>
      </c>
      <c r="I298" s="14"/>
      <c r="J298" s="14"/>
      <c r="K298" s="151"/>
      <c r="L298" s="4" t="s">
        <v>273</v>
      </c>
      <c r="N298" s="131"/>
    </row>
    <row r="299" spans="1:32" x14ac:dyDescent="0.2">
      <c r="A299" s="191"/>
      <c r="B299" s="317"/>
      <c r="C299" s="166"/>
      <c r="D299" s="151"/>
      <c r="E299" s="141">
        <v>2019</v>
      </c>
      <c r="F299" s="14">
        <f t="shared" si="21"/>
        <v>28037.800000000003</v>
      </c>
      <c r="G299" s="14"/>
      <c r="H299" s="14">
        <f>35866.4-7828.6</f>
        <v>28037.800000000003</v>
      </c>
      <c r="I299" s="14"/>
      <c r="J299" s="14"/>
      <c r="K299" s="151"/>
      <c r="L299" s="4" t="s">
        <v>273</v>
      </c>
      <c r="N299" s="131"/>
    </row>
    <row r="300" spans="1:32" x14ac:dyDescent="0.2">
      <c r="A300" s="191"/>
      <c r="B300" s="317"/>
      <c r="C300" s="166"/>
      <c r="D300" s="151"/>
      <c r="E300" s="141">
        <v>2020</v>
      </c>
      <c r="F300" s="14">
        <f t="shared" si="21"/>
        <v>37976</v>
      </c>
      <c r="G300" s="14"/>
      <c r="H300" s="14">
        <v>37976</v>
      </c>
      <c r="I300" s="14"/>
      <c r="J300" s="14"/>
      <c r="K300" s="151"/>
      <c r="N300" s="34"/>
    </row>
    <row r="301" spans="1:32" ht="42.75" customHeight="1" x14ac:dyDescent="0.2">
      <c r="A301" s="192"/>
      <c r="B301" s="317"/>
      <c r="C301" s="207"/>
      <c r="D301" s="151"/>
      <c r="E301" s="24" t="s">
        <v>18</v>
      </c>
      <c r="F301" s="13">
        <f>SUM(F295:F300)</f>
        <v>186443.7</v>
      </c>
      <c r="G301" s="13"/>
      <c r="H301" s="13">
        <f>SUM(H295:H300)</f>
        <v>186443.7</v>
      </c>
      <c r="I301" s="13"/>
      <c r="J301" s="13"/>
      <c r="K301" s="155"/>
    </row>
    <row r="302" spans="1:32" x14ac:dyDescent="0.2">
      <c r="A302" s="197" t="s">
        <v>68</v>
      </c>
      <c r="B302" s="218" t="s">
        <v>135</v>
      </c>
      <c r="C302" s="194" t="s">
        <v>69</v>
      </c>
      <c r="D302" s="154" t="s">
        <v>222</v>
      </c>
      <c r="E302" s="141">
        <v>2015</v>
      </c>
      <c r="F302" s="14">
        <f t="shared" ref="F302:F307" si="22">SUM(G302:I302)</f>
        <v>470.20000000000005</v>
      </c>
      <c r="G302" s="14"/>
      <c r="H302" s="14">
        <f>416.1+54.1</f>
        <v>470.20000000000005</v>
      </c>
      <c r="I302" s="14"/>
      <c r="J302" s="14"/>
      <c r="K302" s="403" t="s">
        <v>154</v>
      </c>
    </row>
    <row r="303" spans="1:32" x14ac:dyDescent="0.2">
      <c r="A303" s="197"/>
      <c r="B303" s="219"/>
      <c r="C303" s="167"/>
      <c r="D303" s="151"/>
      <c r="E303" s="141">
        <v>2016</v>
      </c>
      <c r="F303" s="14">
        <f t="shared" si="22"/>
        <v>305.39999999999998</v>
      </c>
      <c r="G303" s="14"/>
      <c r="H303" s="14">
        <f>261.2+44.2</f>
        <v>305.39999999999998</v>
      </c>
      <c r="I303" s="14"/>
      <c r="J303" s="14"/>
      <c r="K303" s="404"/>
    </row>
    <row r="304" spans="1:32" x14ac:dyDescent="0.2">
      <c r="A304" s="197"/>
      <c r="B304" s="219"/>
      <c r="C304" s="167"/>
      <c r="D304" s="151"/>
      <c r="E304" s="141">
        <v>2017</v>
      </c>
      <c r="F304" s="14">
        <f t="shared" si="22"/>
        <v>454</v>
      </c>
      <c r="G304" s="14"/>
      <c r="H304" s="14">
        <v>454</v>
      </c>
      <c r="I304" s="14"/>
      <c r="J304" s="14"/>
      <c r="K304" s="404"/>
      <c r="L304" s="124" t="s">
        <v>263</v>
      </c>
    </row>
    <row r="305" spans="1:14" x14ac:dyDescent="0.2">
      <c r="A305" s="197"/>
      <c r="B305" s="219"/>
      <c r="C305" s="167"/>
      <c r="D305" s="151"/>
      <c r="E305" s="141">
        <v>2018</v>
      </c>
      <c r="F305" s="14">
        <f t="shared" si="22"/>
        <v>454</v>
      </c>
      <c r="G305" s="14"/>
      <c r="H305" s="14">
        <f>1290-836</f>
        <v>454</v>
      </c>
      <c r="I305" s="14"/>
      <c r="J305" s="14"/>
      <c r="K305" s="404"/>
      <c r="L305" s="4" t="s">
        <v>273</v>
      </c>
      <c r="N305" s="131"/>
    </row>
    <row r="306" spans="1:14" x14ac:dyDescent="0.2">
      <c r="A306" s="197"/>
      <c r="B306" s="219"/>
      <c r="C306" s="167"/>
      <c r="D306" s="151"/>
      <c r="E306" s="141">
        <v>2019</v>
      </c>
      <c r="F306" s="14">
        <f t="shared" ref="F306" si="23">SUM(G306:I306)</f>
        <v>454</v>
      </c>
      <c r="G306" s="14"/>
      <c r="H306" s="14">
        <f>1350-896</f>
        <v>454</v>
      </c>
      <c r="I306" s="14"/>
      <c r="J306" s="14"/>
      <c r="K306" s="404"/>
      <c r="L306" s="4" t="s">
        <v>273</v>
      </c>
      <c r="N306" s="131"/>
    </row>
    <row r="307" spans="1:14" x14ac:dyDescent="0.2">
      <c r="A307" s="197"/>
      <c r="B307" s="219"/>
      <c r="C307" s="167"/>
      <c r="D307" s="151"/>
      <c r="E307" s="141">
        <v>2020</v>
      </c>
      <c r="F307" s="14">
        <f t="shared" si="22"/>
        <v>1420</v>
      </c>
      <c r="G307" s="14"/>
      <c r="H307" s="14">
        <v>1420</v>
      </c>
      <c r="I307" s="14"/>
      <c r="J307" s="14"/>
      <c r="K307" s="404"/>
    </row>
    <row r="308" spans="1:14" x14ac:dyDescent="0.2">
      <c r="A308" s="197"/>
      <c r="B308" s="239"/>
      <c r="C308" s="180"/>
      <c r="D308" s="151"/>
      <c r="E308" s="24" t="s">
        <v>18</v>
      </c>
      <c r="F308" s="13">
        <f>SUM(F302:F307)</f>
        <v>3557.6</v>
      </c>
      <c r="G308" s="13"/>
      <c r="H308" s="13">
        <f>SUM(H302:H307)</f>
        <v>3557.6</v>
      </c>
      <c r="I308" s="14"/>
      <c r="J308" s="14"/>
      <c r="K308" s="405"/>
    </row>
    <row r="309" spans="1:14" x14ac:dyDescent="0.2">
      <c r="A309" s="197" t="s">
        <v>335</v>
      </c>
      <c r="B309" s="218" t="s">
        <v>133</v>
      </c>
      <c r="C309" s="194" t="s">
        <v>69</v>
      </c>
      <c r="D309" s="154" t="s">
        <v>222</v>
      </c>
      <c r="E309" s="141">
        <v>2015</v>
      </c>
      <c r="F309" s="14">
        <f t="shared" ref="F309:F314" si="24">SUM(G309:J309)</f>
        <v>5042</v>
      </c>
      <c r="G309" s="14"/>
      <c r="H309" s="14">
        <v>4991.6000000000004</v>
      </c>
      <c r="I309" s="14">
        <v>50.4</v>
      </c>
      <c r="J309" s="14"/>
      <c r="K309" s="154" t="s">
        <v>154</v>
      </c>
    </row>
    <row r="310" spans="1:14" x14ac:dyDescent="0.2">
      <c r="A310" s="197"/>
      <c r="B310" s="219"/>
      <c r="C310" s="167"/>
      <c r="D310" s="151"/>
      <c r="E310" s="141">
        <v>2016</v>
      </c>
      <c r="F310" s="14">
        <f t="shared" si="24"/>
        <v>0</v>
      </c>
      <c r="G310" s="14"/>
      <c r="H310" s="14"/>
      <c r="I310" s="14">
        <v>0</v>
      </c>
      <c r="J310" s="14"/>
      <c r="K310" s="151"/>
    </row>
    <row r="311" spans="1:14" x14ac:dyDescent="0.2">
      <c r="A311" s="197"/>
      <c r="B311" s="219"/>
      <c r="C311" s="167"/>
      <c r="D311" s="151"/>
      <c r="E311" s="141">
        <v>2017</v>
      </c>
      <c r="F311" s="14">
        <f t="shared" si="24"/>
        <v>0</v>
      </c>
      <c r="G311" s="14"/>
      <c r="H311" s="14">
        <f>5450.9-5450.9</f>
        <v>0</v>
      </c>
      <c r="I311" s="14">
        <f>55.1-55.1</f>
        <v>0</v>
      </c>
      <c r="J311" s="14"/>
      <c r="K311" s="151"/>
      <c r="L311" s="124" t="s">
        <v>271</v>
      </c>
    </row>
    <row r="312" spans="1:14" x14ac:dyDescent="0.2">
      <c r="A312" s="197"/>
      <c r="B312" s="219"/>
      <c r="C312" s="167"/>
      <c r="D312" s="151"/>
      <c r="E312" s="141">
        <v>2018</v>
      </c>
      <c r="F312" s="14">
        <f t="shared" si="24"/>
        <v>0</v>
      </c>
      <c r="G312" s="14"/>
      <c r="H312" s="14"/>
      <c r="I312" s="14"/>
      <c r="J312" s="14"/>
      <c r="K312" s="151"/>
    </row>
    <row r="313" spans="1:14" x14ac:dyDescent="0.2">
      <c r="A313" s="197"/>
      <c r="B313" s="219"/>
      <c r="C313" s="167"/>
      <c r="D313" s="151"/>
      <c r="E313" s="141">
        <v>2019</v>
      </c>
      <c r="F313" s="14">
        <f t="shared" si="24"/>
        <v>0</v>
      </c>
      <c r="G313" s="14"/>
      <c r="H313" s="14"/>
      <c r="I313" s="14"/>
      <c r="J313" s="14"/>
      <c r="K313" s="151"/>
    </row>
    <row r="314" spans="1:14" x14ac:dyDescent="0.2">
      <c r="A314" s="197"/>
      <c r="B314" s="219"/>
      <c r="C314" s="167"/>
      <c r="D314" s="151"/>
      <c r="E314" s="141">
        <v>2020</v>
      </c>
      <c r="F314" s="14">
        <f t="shared" si="24"/>
        <v>0</v>
      </c>
      <c r="G314" s="14"/>
      <c r="H314" s="14"/>
      <c r="I314" s="14"/>
      <c r="J314" s="14"/>
      <c r="K314" s="151"/>
    </row>
    <row r="315" spans="1:14" ht="45" customHeight="1" x14ac:dyDescent="0.2">
      <c r="A315" s="197"/>
      <c r="B315" s="219"/>
      <c r="C315" s="180"/>
      <c r="D315" s="151"/>
      <c r="E315" s="24" t="s">
        <v>18</v>
      </c>
      <c r="F315" s="51">
        <f>SUM(F309:F314)</f>
        <v>5042</v>
      </c>
      <c r="G315" s="51"/>
      <c r="H315" s="51">
        <f>SUM(H309:H314)</f>
        <v>4991.6000000000004</v>
      </c>
      <c r="I315" s="51">
        <f>SUM(I309:I314)</f>
        <v>50.4</v>
      </c>
      <c r="J315" s="51"/>
      <c r="K315" s="155"/>
    </row>
    <row r="316" spans="1:14" ht="12.75" customHeight="1" x14ac:dyDescent="0.2">
      <c r="A316" s="190" t="s">
        <v>136</v>
      </c>
      <c r="B316" s="165" t="s">
        <v>62</v>
      </c>
      <c r="C316" s="194" t="s">
        <v>69</v>
      </c>
      <c r="D316" s="154" t="s">
        <v>222</v>
      </c>
      <c r="E316" s="141">
        <v>2015</v>
      </c>
      <c r="F316" s="14">
        <f t="shared" ref="F316:F321" si="25">SUM(G316:J316)</f>
        <v>0</v>
      </c>
      <c r="G316" s="14"/>
      <c r="H316" s="14"/>
      <c r="I316" s="14"/>
      <c r="J316" s="14"/>
      <c r="K316" s="154" t="s">
        <v>155</v>
      </c>
    </row>
    <row r="317" spans="1:14" ht="12.75" customHeight="1" x14ac:dyDescent="0.2">
      <c r="A317" s="191"/>
      <c r="B317" s="186"/>
      <c r="C317" s="167"/>
      <c r="D317" s="151"/>
      <c r="E317" s="141">
        <v>2016</v>
      </c>
      <c r="F317" s="14">
        <f t="shared" si="25"/>
        <v>2152.1</v>
      </c>
      <c r="G317" s="14"/>
      <c r="H317" s="14"/>
      <c r="I317" s="14">
        <f>2194.1-42</f>
        <v>2152.1</v>
      </c>
      <c r="J317" s="14"/>
      <c r="K317" s="151"/>
      <c r="L317" s="124" t="s">
        <v>264</v>
      </c>
    </row>
    <row r="318" spans="1:14" ht="12.75" customHeight="1" x14ac:dyDescent="0.2">
      <c r="A318" s="191"/>
      <c r="B318" s="186"/>
      <c r="C318" s="167"/>
      <c r="D318" s="151"/>
      <c r="E318" s="141">
        <v>2017</v>
      </c>
      <c r="F318" s="14">
        <f t="shared" si="25"/>
        <v>1996.4</v>
      </c>
      <c r="G318" s="14"/>
      <c r="H318" s="14"/>
      <c r="I318" s="14">
        <v>1996.4</v>
      </c>
      <c r="J318" s="14"/>
      <c r="K318" s="151"/>
      <c r="L318" s="124" t="s">
        <v>255</v>
      </c>
    </row>
    <row r="319" spans="1:14" ht="12.75" customHeight="1" x14ac:dyDescent="0.2">
      <c r="A319" s="191"/>
      <c r="B319" s="186"/>
      <c r="C319" s="167"/>
      <c r="D319" s="151"/>
      <c r="E319" s="141">
        <v>2018</v>
      </c>
      <c r="F319" s="14">
        <f t="shared" si="25"/>
        <v>2201.1</v>
      </c>
      <c r="G319" s="14"/>
      <c r="H319" s="14"/>
      <c r="I319" s="14">
        <v>2201.1</v>
      </c>
      <c r="J319" s="14"/>
      <c r="K319" s="151"/>
      <c r="L319" s="4" t="s">
        <v>255</v>
      </c>
    </row>
    <row r="320" spans="1:14" ht="12.75" customHeight="1" x14ac:dyDescent="0.2">
      <c r="A320" s="191"/>
      <c r="B320" s="186"/>
      <c r="C320" s="167"/>
      <c r="D320" s="151"/>
      <c r="E320" s="141">
        <v>2019</v>
      </c>
      <c r="F320" s="14">
        <f t="shared" si="25"/>
        <v>1389.9</v>
      </c>
      <c r="G320" s="14"/>
      <c r="H320" s="14"/>
      <c r="I320" s="14">
        <v>1389.9</v>
      </c>
      <c r="J320" s="14"/>
      <c r="K320" s="151"/>
      <c r="L320" s="4" t="s">
        <v>255</v>
      </c>
    </row>
    <row r="321" spans="1:32" ht="12.75" customHeight="1" x14ac:dyDescent="0.2">
      <c r="A321" s="191"/>
      <c r="B321" s="186"/>
      <c r="C321" s="167"/>
      <c r="D321" s="151"/>
      <c r="E321" s="141">
        <v>2020</v>
      </c>
      <c r="F321" s="14">
        <f t="shared" si="25"/>
        <v>0</v>
      </c>
      <c r="G321" s="14"/>
      <c r="H321" s="14"/>
      <c r="I321" s="14"/>
      <c r="J321" s="14"/>
      <c r="K321" s="151"/>
    </row>
    <row r="322" spans="1:32" ht="18" customHeight="1" x14ac:dyDescent="0.2">
      <c r="A322" s="192"/>
      <c r="B322" s="193"/>
      <c r="C322" s="180"/>
      <c r="D322" s="151"/>
      <c r="E322" s="24" t="s">
        <v>18</v>
      </c>
      <c r="F322" s="51">
        <f>SUM(F316:F321)</f>
        <v>7739.5</v>
      </c>
      <c r="G322" s="51"/>
      <c r="H322" s="51">
        <f>SUM(H316:H321)</f>
        <v>0</v>
      </c>
      <c r="I322" s="51">
        <f>SUM(I316:I321)</f>
        <v>7739.5</v>
      </c>
      <c r="J322" s="51"/>
      <c r="K322" s="155"/>
    </row>
    <row r="323" spans="1:32" ht="13.5" customHeight="1" x14ac:dyDescent="0.2">
      <c r="A323" s="246" t="s">
        <v>252</v>
      </c>
      <c r="B323" s="208" t="s">
        <v>254</v>
      </c>
      <c r="C323" s="194" t="s">
        <v>221</v>
      </c>
      <c r="D323" s="154" t="s">
        <v>222</v>
      </c>
      <c r="E323" s="141">
        <v>2016</v>
      </c>
      <c r="F323" s="28">
        <f>G323+H323+I323</f>
        <v>42</v>
      </c>
      <c r="G323" s="51"/>
      <c r="H323" s="51"/>
      <c r="I323" s="28">
        <v>42</v>
      </c>
      <c r="J323" s="28"/>
      <c r="K323" s="154" t="s">
        <v>143</v>
      </c>
      <c r="L323" s="124" t="s">
        <v>253</v>
      </c>
    </row>
    <row r="324" spans="1:32" ht="13.5" customHeight="1" x14ac:dyDescent="0.2">
      <c r="A324" s="247"/>
      <c r="B324" s="209"/>
      <c r="C324" s="166"/>
      <c r="D324" s="151"/>
      <c r="E324" s="141">
        <v>2017</v>
      </c>
      <c r="F324" s="28">
        <f t="shared" ref="F324:F327" si="26">G324+H324+I324</f>
        <v>693.9</v>
      </c>
      <c r="G324" s="51"/>
      <c r="H324" s="51"/>
      <c r="I324" s="28">
        <v>693.9</v>
      </c>
      <c r="J324" s="28"/>
      <c r="K324" s="151"/>
      <c r="L324" s="124" t="s">
        <v>255</v>
      </c>
    </row>
    <row r="325" spans="1:32" ht="13.5" customHeight="1" x14ac:dyDescent="0.2">
      <c r="A325" s="247"/>
      <c r="B325" s="209"/>
      <c r="C325" s="166"/>
      <c r="D325" s="151"/>
      <c r="E325" s="141">
        <v>2018</v>
      </c>
      <c r="F325" s="28">
        <f t="shared" si="26"/>
        <v>500</v>
      </c>
      <c r="G325" s="51"/>
      <c r="H325" s="51"/>
      <c r="I325" s="28">
        <v>500</v>
      </c>
      <c r="J325" s="28"/>
      <c r="K325" s="151"/>
      <c r="L325" s="124" t="s">
        <v>255</v>
      </c>
    </row>
    <row r="326" spans="1:32" ht="13.5" customHeight="1" x14ac:dyDescent="0.2">
      <c r="A326" s="247"/>
      <c r="B326" s="209"/>
      <c r="C326" s="166"/>
      <c r="D326" s="151"/>
      <c r="E326" s="141">
        <v>2019</v>
      </c>
      <c r="F326" s="28">
        <f t="shared" si="26"/>
        <v>0</v>
      </c>
      <c r="G326" s="51"/>
      <c r="H326" s="51"/>
      <c r="I326" s="51">
        <v>0</v>
      </c>
      <c r="J326" s="28"/>
      <c r="K326" s="151"/>
      <c r="L326" s="124" t="s">
        <v>278</v>
      </c>
    </row>
    <row r="327" spans="1:32" ht="12.75" customHeight="1" x14ac:dyDescent="0.2">
      <c r="A327" s="247"/>
      <c r="B327" s="209"/>
      <c r="C327" s="166"/>
      <c r="D327" s="151"/>
      <c r="E327" s="141">
        <v>2020</v>
      </c>
      <c r="F327" s="28">
        <f t="shared" si="26"/>
        <v>0</v>
      </c>
      <c r="G327" s="51"/>
      <c r="H327" s="51"/>
      <c r="I327" s="51"/>
      <c r="J327" s="28"/>
      <c r="K327" s="151"/>
    </row>
    <row r="328" spans="1:32" ht="18" customHeight="1" x14ac:dyDescent="0.2">
      <c r="A328" s="247"/>
      <c r="B328" s="164"/>
      <c r="C328" s="166"/>
      <c r="D328" s="151"/>
      <c r="E328" s="32" t="s">
        <v>18</v>
      </c>
      <c r="F328" s="51">
        <f>SUM(F323:F327)</f>
        <v>1235.9000000000001</v>
      </c>
      <c r="G328" s="51"/>
      <c r="H328" s="51">
        <v>0</v>
      </c>
      <c r="I328" s="51">
        <f>SUM(I323:I327)</f>
        <v>1235.9000000000001</v>
      </c>
      <c r="J328" s="28"/>
      <c r="K328" s="151"/>
    </row>
    <row r="329" spans="1:32" ht="13.5" customHeight="1" x14ac:dyDescent="0.2">
      <c r="A329" s="246" t="s">
        <v>336</v>
      </c>
      <c r="B329" s="208" t="s">
        <v>312</v>
      </c>
      <c r="C329" s="194" t="s">
        <v>221</v>
      </c>
      <c r="D329" s="154" t="s">
        <v>222</v>
      </c>
      <c r="E329" s="141">
        <v>2017</v>
      </c>
      <c r="F329" s="28">
        <f>G329+H329+I329</f>
        <v>1906.7</v>
      </c>
      <c r="G329" s="51"/>
      <c r="H329" s="28">
        <v>1906.7</v>
      </c>
      <c r="I329" s="28"/>
      <c r="J329" s="28"/>
      <c r="K329" s="154" t="s">
        <v>314</v>
      </c>
      <c r="L329" s="124" t="s">
        <v>253</v>
      </c>
    </row>
    <row r="330" spans="1:32" ht="13.5" customHeight="1" x14ac:dyDescent="0.2">
      <c r="A330" s="247"/>
      <c r="B330" s="209"/>
      <c r="C330" s="166"/>
      <c r="D330" s="151"/>
      <c r="E330" s="141">
        <v>2018</v>
      </c>
      <c r="F330" s="28">
        <f t="shared" ref="F330:F332" si="27">G330+H330+I330</f>
        <v>0</v>
      </c>
      <c r="G330" s="51"/>
      <c r="H330" s="51"/>
      <c r="I330" s="28"/>
      <c r="J330" s="28"/>
      <c r="K330" s="151"/>
      <c r="L330" s="124" t="s">
        <v>255</v>
      </c>
    </row>
    <row r="331" spans="1:32" ht="13.5" customHeight="1" x14ac:dyDescent="0.2">
      <c r="A331" s="247"/>
      <c r="B331" s="209"/>
      <c r="C331" s="166"/>
      <c r="D331" s="151"/>
      <c r="E331" s="141">
        <v>2019</v>
      </c>
      <c r="F331" s="28">
        <f t="shared" si="27"/>
        <v>0</v>
      </c>
      <c r="G331" s="51"/>
      <c r="H331" s="51"/>
      <c r="I331" s="28"/>
      <c r="J331" s="28"/>
      <c r="K331" s="151"/>
      <c r="L331" s="124" t="s">
        <v>255</v>
      </c>
    </row>
    <row r="332" spans="1:32" ht="13.5" customHeight="1" x14ac:dyDescent="0.2">
      <c r="A332" s="247"/>
      <c r="B332" s="209"/>
      <c r="C332" s="166"/>
      <c r="D332" s="151"/>
      <c r="E332" s="141">
        <v>2020</v>
      </c>
      <c r="F332" s="28">
        <f t="shared" si="27"/>
        <v>0</v>
      </c>
      <c r="G332" s="51"/>
      <c r="H332" s="51"/>
      <c r="I332" s="51"/>
      <c r="J332" s="28"/>
      <c r="K332" s="151"/>
      <c r="L332" s="124" t="s">
        <v>278</v>
      </c>
    </row>
    <row r="333" spans="1:32" ht="64.5" customHeight="1" thickBot="1" x14ac:dyDescent="0.25">
      <c r="A333" s="247"/>
      <c r="B333" s="164"/>
      <c r="C333" s="166"/>
      <c r="D333" s="151"/>
      <c r="E333" s="32" t="s">
        <v>18</v>
      </c>
      <c r="F333" s="51">
        <f>SUM(F329:F332)</f>
        <v>1906.7</v>
      </c>
      <c r="G333" s="51"/>
      <c r="H333" s="51">
        <f t="shared" ref="H333" si="28">SUM(H329:H332)</f>
        <v>1906.7</v>
      </c>
      <c r="I333" s="51">
        <f>SUM(I329:I332)</f>
        <v>0</v>
      </c>
      <c r="J333" s="28"/>
      <c r="K333" s="151"/>
    </row>
    <row r="334" spans="1:32" ht="15.75" thickBot="1" x14ac:dyDescent="0.3">
      <c r="A334" s="156" t="s">
        <v>189</v>
      </c>
      <c r="B334" s="157"/>
      <c r="C334" s="157"/>
      <c r="D334" s="157"/>
      <c r="E334" s="56"/>
      <c r="F334" s="119">
        <f>F315+F308+F301+F322+F328+F333</f>
        <v>205925.40000000002</v>
      </c>
      <c r="G334" s="119"/>
      <c r="H334" s="118">
        <f>H315+H308+H301+H322+H328+H333</f>
        <v>196899.60000000003</v>
      </c>
      <c r="I334" s="118">
        <f>I315+I308+I301+I322+I328</f>
        <v>9025.7999999999993</v>
      </c>
      <c r="J334" s="127"/>
      <c r="K334" s="128"/>
    </row>
    <row r="335" spans="1:32" ht="16.5" thickBot="1" x14ac:dyDescent="0.3">
      <c r="A335" s="413" t="s">
        <v>194</v>
      </c>
      <c r="B335" s="414"/>
      <c r="C335" s="414"/>
      <c r="D335" s="414"/>
      <c r="E335" s="414"/>
      <c r="F335" s="125"/>
      <c r="G335" s="125"/>
      <c r="H335" s="125"/>
      <c r="I335" s="126"/>
      <c r="J335" s="126"/>
      <c r="K335" s="126"/>
      <c r="L335" s="59"/>
      <c r="M335" s="59"/>
      <c r="N335" s="59"/>
      <c r="O335" s="59"/>
      <c r="P335" s="59"/>
      <c r="Q335" s="59"/>
      <c r="R335" s="59"/>
      <c r="S335" s="59"/>
      <c r="T335" s="59"/>
      <c r="U335" s="59"/>
      <c r="V335" s="59"/>
      <c r="W335" s="59"/>
      <c r="X335" s="59"/>
      <c r="Y335" s="59"/>
      <c r="Z335" s="59"/>
      <c r="AA335" s="59"/>
      <c r="AB335" s="59"/>
      <c r="AC335" s="59"/>
      <c r="AD335" s="59"/>
      <c r="AE335" s="59"/>
      <c r="AF335" s="60"/>
    </row>
    <row r="336" spans="1:32" x14ac:dyDescent="0.2">
      <c r="A336" s="410" t="s">
        <v>337</v>
      </c>
      <c r="B336" s="171" t="s">
        <v>126</v>
      </c>
      <c r="C336" s="194" t="s">
        <v>69</v>
      </c>
      <c r="D336" s="154" t="s">
        <v>222</v>
      </c>
      <c r="E336" s="141">
        <v>2015</v>
      </c>
      <c r="F336" s="14">
        <f t="shared" ref="F336:F341" si="29">SUM(G336:I336)</f>
        <v>175</v>
      </c>
      <c r="G336" s="14"/>
      <c r="H336" s="14"/>
      <c r="I336" s="14">
        <v>175</v>
      </c>
      <c r="J336" s="14"/>
      <c r="K336" s="154" t="s">
        <v>156</v>
      </c>
    </row>
    <row r="337" spans="1:32" x14ac:dyDescent="0.2">
      <c r="A337" s="411"/>
      <c r="B337" s="415"/>
      <c r="C337" s="167"/>
      <c r="D337" s="151"/>
      <c r="E337" s="141">
        <v>2016</v>
      </c>
      <c r="F337" s="14">
        <f t="shared" si="29"/>
        <v>195</v>
      </c>
      <c r="G337" s="14"/>
      <c r="H337" s="14"/>
      <c r="I337" s="14">
        <f>185+10</f>
        <v>195</v>
      </c>
      <c r="J337" s="14"/>
      <c r="K337" s="151"/>
    </row>
    <row r="338" spans="1:32" x14ac:dyDescent="0.2">
      <c r="A338" s="411"/>
      <c r="B338" s="415"/>
      <c r="C338" s="167"/>
      <c r="D338" s="151"/>
      <c r="E338" s="141">
        <v>2017</v>
      </c>
      <c r="F338" s="14">
        <f t="shared" si="29"/>
        <v>151.5</v>
      </c>
      <c r="G338" s="14"/>
      <c r="H338" s="14"/>
      <c r="I338" s="14">
        <f>195-43.5</f>
        <v>151.5</v>
      </c>
      <c r="J338" s="14"/>
      <c r="K338" s="151"/>
      <c r="L338" s="124" t="s">
        <v>256</v>
      </c>
    </row>
    <row r="339" spans="1:32" x14ac:dyDescent="0.2">
      <c r="A339" s="411"/>
      <c r="B339" s="415"/>
      <c r="C339" s="167"/>
      <c r="D339" s="151"/>
      <c r="E339" s="141">
        <v>2018</v>
      </c>
      <c r="F339" s="14">
        <f t="shared" si="29"/>
        <v>205</v>
      </c>
      <c r="G339" s="14"/>
      <c r="H339" s="14"/>
      <c r="I339" s="14">
        <v>205</v>
      </c>
      <c r="J339" s="14"/>
      <c r="K339" s="151"/>
      <c r="L339" s="124" t="s">
        <v>274</v>
      </c>
    </row>
    <row r="340" spans="1:32" x14ac:dyDescent="0.2">
      <c r="A340" s="411"/>
      <c r="B340" s="415"/>
      <c r="C340" s="167"/>
      <c r="D340" s="151"/>
      <c r="E340" s="141">
        <v>2019</v>
      </c>
      <c r="F340" s="14">
        <f t="shared" si="29"/>
        <v>215</v>
      </c>
      <c r="G340" s="14"/>
      <c r="H340" s="14"/>
      <c r="I340" s="14">
        <v>215</v>
      </c>
      <c r="J340" s="14"/>
      <c r="K340" s="151"/>
      <c r="L340" s="124" t="s">
        <v>274</v>
      </c>
    </row>
    <row r="341" spans="1:32" x14ac:dyDescent="0.2">
      <c r="A341" s="411"/>
      <c r="B341" s="415"/>
      <c r="C341" s="167"/>
      <c r="D341" s="151"/>
      <c r="E341" s="141">
        <v>2020</v>
      </c>
      <c r="F341" s="14">
        <f t="shared" si="29"/>
        <v>230</v>
      </c>
      <c r="G341" s="14"/>
      <c r="H341" s="14"/>
      <c r="I341" s="14">
        <v>230</v>
      </c>
      <c r="J341" s="14"/>
      <c r="K341" s="151"/>
    </row>
    <row r="342" spans="1:32" ht="58.5" customHeight="1" thickBot="1" x14ac:dyDescent="0.25">
      <c r="A342" s="412"/>
      <c r="B342" s="415"/>
      <c r="C342" s="168"/>
      <c r="D342" s="151"/>
      <c r="E342" s="32" t="s">
        <v>18</v>
      </c>
      <c r="F342" s="51">
        <f>SUM(F336:F341)</f>
        <v>1171.5</v>
      </c>
      <c r="G342" s="51"/>
      <c r="H342" s="51"/>
      <c r="I342" s="51">
        <f>SUM(I336:I341)</f>
        <v>1171.5</v>
      </c>
      <c r="J342" s="28"/>
      <c r="K342" s="155"/>
    </row>
    <row r="343" spans="1:32" x14ac:dyDescent="0.2">
      <c r="A343" s="410" t="s">
        <v>338</v>
      </c>
      <c r="B343" s="171" t="s">
        <v>81</v>
      </c>
      <c r="C343" s="194" t="s">
        <v>69</v>
      </c>
      <c r="D343" s="154" t="s">
        <v>222</v>
      </c>
      <c r="E343" s="141">
        <v>2017</v>
      </c>
      <c r="F343" s="14">
        <f t="shared" ref="F343:F346" si="30">SUM(G343:I343)</f>
        <v>200</v>
      </c>
      <c r="G343" s="14"/>
      <c r="H343" s="14"/>
      <c r="I343" s="14">
        <v>200</v>
      </c>
      <c r="J343" s="14"/>
      <c r="K343" s="154" t="s">
        <v>172</v>
      </c>
    </row>
    <row r="344" spans="1:32" x14ac:dyDescent="0.2">
      <c r="A344" s="411"/>
      <c r="B344" s="415"/>
      <c r="C344" s="167"/>
      <c r="D344" s="151"/>
      <c r="E344" s="141">
        <v>2018</v>
      </c>
      <c r="F344" s="14">
        <f t="shared" si="30"/>
        <v>0</v>
      </c>
      <c r="G344" s="14"/>
      <c r="H344" s="14"/>
      <c r="I344" s="14"/>
      <c r="J344" s="14"/>
      <c r="K344" s="151"/>
    </row>
    <row r="345" spans="1:32" x14ac:dyDescent="0.2">
      <c r="A345" s="411"/>
      <c r="B345" s="415"/>
      <c r="C345" s="167"/>
      <c r="D345" s="151"/>
      <c r="E345" s="141">
        <v>2019</v>
      </c>
      <c r="F345" s="14">
        <f t="shared" si="30"/>
        <v>0</v>
      </c>
      <c r="G345" s="14"/>
      <c r="H345" s="14"/>
      <c r="I345" s="14"/>
      <c r="J345" s="14"/>
      <c r="K345" s="151"/>
      <c r="L345" s="124" t="s">
        <v>256</v>
      </c>
    </row>
    <row r="346" spans="1:32" x14ac:dyDescent="0.2">
      <c r="A346" s="411"/>
      <c r="B346" s="415"/>
      <c r="C346" s="167"/>
      <c r="D346" s="151"/>
      <c r="E346" s="141">
        <v>2020</v>
      </c>
      <c r="F346" s="14">
        <f t="shared" si="30"/>
        <v>0</v>
      </c>
      <c r="G346" s="14"/>
      <c r="H346" s="14"/>
      <c r="I346" s="14"/>
      <c r="J346" s="14"/>
      <c r="K346" s="151"/>
      <c r="L346" s="124" t="s">
        <v>274</v>
      </c>
    </row>
    <row r="347" spans="1:32" ht="58.5" customHeight="1" thickBot="1" x14ac:dyDescent="0.25">
      <c r="A347" s="412"/>
      <c r="B347" s="415"/>
      <c r="C347" s="168"/>
      <c r="D347" s="151"/>
      <c r="E347" s="32" t="s">
        <v>18</v>
      </c>
      <c r="F347" s="51">
        <f>SUM(F343:F346)</f>
        <v>200</v>
      </c>
      <c r="G347" s="51"/>
      <c r="H347" s="51"/>
      <c r="I347" s="51">
        <f>SUM(I343:I346)</f>
        <v>200</v>
      </c>
      <c r="J347" s="28"/>
      <c r="K347" s="155"/>
    </row>
    <row r="348" spans="1:32" ht="15.75" thickBot="1" x14ac:dyDescent="0.3">
      <c r="A348" s="156" t="s">
        <v>201</v>
      </c>
      <c r="B348" s="157"/>
      <c r="C348" s="157"/>
      <c r="D348" s="157"/>
      <c r="E348" s="61"/>
      <c r="F348" s="20">
        <f>F347+F342</f>
        <v>1371.5</v>
      </c>
      <c r="G348" s="18">
        <f>SUM(G342)</f>
        <v>0</v>
      </c>
      <c r="H348" s="18">
        <f>SUM(H342)</f>
        <v>0</v>
      </c>
      <c r="I348" s="20">
        <f>I347+I342</f>
        <v>1371.5</v>
      </c>
      <c r="J348" s="57"/>
      <c r="K348" s="58"/>
    </row>
    <row r="349" spans="1:32" ht="16.5" thickBot="1" x14ac:dyDescent="0.25">
      <c r="A349" s="158" t="s">
        <v>195</v>
      </c>
      <c r="B349" s="159"/>
      <c r="C349" s="159"/>
      <c r="D349" s="159"/>
      <c r="E349" s="159"/>
      <c r="F349" s="159"/>
      <c r="G349" s="159"/>
      <c r="H349" s="159"/>
      <c r="I349" s="159"/>
      <c r="J349" s="159"/>
      <c r="K349" s="160"/>
      <c r="L349" s="62"/>
      <c r="M349" s="62"/>
      <c r="N349" s="62"/>
      <c r="O349" s="62"/>
      <c r="P349" s="62"/>
      <c r="Q349" s="62"/>
      <c r="R349" s="62"/>
      <c r="S349" s="62"/>
      <c r="T349" s="62"/>
      <c r="U349" s="62"/>
      <c r="V349" s="62"/>
      <c r="W349" s="62"/>
      <c r="X349" s="62"/>
      <c r="Y349" s="62"/>
      <c r="Z349" s="62"/>
      <c r="AA349" s="62"/>
      <c r="AB349" s="62"/>
      <c r="AC349" s="62"/>
      <c r="AD349" s="62"/>
      <c r="AE349" s="62"/>
      <c r="AF349" s="63"/>
    </row>
    <row r="350" spans="1:32" x14ac:dyDescent="0.2">
      <c r="A350" s="161" t="s">
        <v>157</v>
      </c>
      <c r="B350" s="164" t="s">
        <v>243</v>
      </c>
      <c r="C350" s="166" t="s">
        <v>69</v>
      </c>
      <c r="D350" s="151" t="s">
        <v>222</v>
      </c>
      <c r="E350" s="149">
        <v>2015</v>
      </c>
      <c r="F350" s="12">
        <f t="shared" ref="F350:F355" si="31">SUM(G350:I350)</f>
        <v>275</v>
      </c>
      <c r="G350" s="12"/>
      <c r="H350" s="12"/>
      <c r="I350" s="12">
        <v>275</v>
      </c>
      <c r="J350" s="12"/>
      <c r="K350" s="151" t="s">
        <v>158</v>
      </c>
    </row>
    <row r="351" spans="1:32" x14ac:dyDescent="0.2">
      <c r="A351" s="162"/>
      <c r="B351" s="165"/>
      <c r="C351" s="167"/>
      <c r="D351" s="151"/>
      <c r="E351" s="141">
        <v>2016</v>
      </c>
      <c r="F351" s="14">
        <f t="shared" si="31"/>
        <v>294.7</v>
      </c>
      <c r="G351" s="14"/>
      <c r="H351" s="14"/>
      <c r="I351" s="14">
        <f>295-0.3</f>
        <v>294.7</v>
      </c>
      <c r="J351" s="14"/>
      <c r="K351" s="151"/>
    </row>
    <row r="352" spans="1:32" x14ac:dyDescent="0.2">
      <c r="A352" s="162"/>
      <c r="B352" s="165"/>
      <c r="C352" s="167"/>
      <c r="D352" s="151"/>
      <c r="E352" s="141">
        <v>2017</v>
      </c>
      <c r="F352" s="14">
        <f t="shared" si="31"/>
        <v>240.5</v>
      </c>
      <c r="G352" s="14"/>
      <c r="H352" s="14"/>
      <c r="I352" s="14">
        <f>315-74.5</f>
        <v>240.5</v>
      </c>
      <c r="J352" s="14"/>
      <c r="K352" s="151"/>
      <c r="L352" s="124" t="s">
        <v>256</v>
      </c>
    </row>
    <row r="353" spans="1:32" x14ac:dyDescent="0.2">
      <c r="A353" s="162"/>
      <c r="B353" s="165"/>
      <c r="C353" s="167"/>
      <c r="D353" s="151"/>
      <c r="E353" s="141">
        <v>2018</v>
      </c>
      <c r="F353" s="14">
        <f t="shared" si="31"/>
        <v>60</v>
      </c>
      <c r="G353" s="14"/>
      <c r="H353" s="14"/>
      <c r="I353" s="14">
        <v>60</v>
      </c>
      <c r="J353" s="14"/>
      <c r="K353" s="151"/>
      <c r="L353" s="124" t="s">
        <v>274</v>
      </c>
    </row>
    <row r="354" spans="1:32" x14ac:dyDescent="0.2">
      <c r="A354" s="162"/>
      <c r="B354" s="165"/>
      <c r="C354" s="167"/>
      <c r="D354" s="151"/>
      <c r="E354" s="141">
        <v>2019</v>
      </c>
      <c r="F354" s="14">
        <f t="shared" si="31"/>
        <v>60</v>
      </c>
      <c r="G354" s="14"/>
      <c r="H354" s="14"/>
      <c r="I354" s="14">
        <v>60</v>
      </c>
      <c r="J354" s="14"/>
      <c r="K354" s="151"/>
      <c r="L354" s="124" t="s">
        <v>274</v>
      </c>
    </row>
    <row r="355" spans="1:32" x14ac:dyDescent="0.2">
      <c r="A355" s="162"/>
      <c r="B355" s="165"/>
      <c r="C355" s="167"/>
      <c r="D355" s="151"/>
      <c r="E355" s="141">
        <v>2020</v>
      </c>
      <c r="F355" s="14">
        <f t="shared" si="31"/>
        <v>60</v>
      </c>
      <c r="G355" s="14"/>
      <c r="H355" s="14"/>
      <c r="I355" s="14">
        <v>60</v>
      </c>
      <c r="J355" s="14"/>
      <c r="K355" s="151"/>
    </row>
    <row r="356" spans="1:32" ht="59.25" customHeight="1" thickBot="1" x14ac:dyDescent="0.25">
      <c r="A356" s="163"/>
      <c r="B356" s="165"/>
      <c r="C356" s="168"/>
      <c r="D356" s="151"/>
      <c r="E356" s="24" t="s">
        <v>18</v>
      </c>
      <c r="F356" s="13">
        <f>SUM(F350:F355)</f>
        <v>990.2</v>
      </c>
      <c r="G356" s="13"/>
      <c r="H356" s="13">
        <f>SUM(H350:H355)</f>
        <v>0</v>
      </c>
      <c r="I356" s="13">
        <f>SUM(I350:I355)</f>
        <v>990.2</v>
      </c>
      <c r="J356" s="14"/>
      <c r="K356" s="169"/>
    </row>
    <row r="357" spans="1:32" ht="15.75" thickBot="1" x14ac:dyDescent="0.3">
      <c r="A357" s="156" t="s">
        <v>203</v>
      </c>
      <c r="B357" s="157"/>
      <c r="C357" s="157"/>
      <c r="D357" s="157"/>
      <c r="E357" s="61"/>
      <c r="F357" s="20">
        <f>SUM(F356)</f>
        <v>990.2</v>
      </c>
      <c r="G357" s="18">
        <f>SUM(G356)</f>
        <v>0</v>
      </c>
      <c r="H357" s="18">
        <f>SUM(H356)</f>
        <v>0</v>
      </c>
      <c r="I357" s="20">
        <f>SUM(I356)</f>
        <v>990.2</v>
      </c>
      <c r="J357" s="57"/>
      <c r="K357" s="58"/>
    </row>
    <row r="358" spans="1:32" ht="16.5" thickBot="1" x14ac:dyDescent="0.25">
      <c r="A358" s="158" t="s">
        <v>196</v>
      </c>
      <c r="B358" s="159"/>
      <c r="C358" s="159"/>
      <c r="D358" s="159"/>
      <c r="E358" s="159"/>
      <c r="F358" s="159"/>
      <c r="G358" s="159"/>
      <c r="H358" s="159"/>
      <c r="I358" s="159"/>
      <c r="J358" s="159"/>
      <c r="K358" s="160"/>
      <c r="L358" s="62"/>
      <c r="M358" s="62"/>
      <c r="N358" s="62"/>
      <c r="O358" s="62"/>
      <c r="P358" s="62"/>
      <c r="Q358" s="62"/>
      <c r="R358" s="62"/>
      <c r="S358" s="62"/>
      <c r="T358" s="62"/>
      <c r="U358" s="62"/>
      <c r="V358" s="62"/>
      <c r="W358" s="62"/>
      <c r="X358" s="62"/>
      <c r="Y358" s="62"/>
      <c r="Z358" s="62"/>
      <c r="AA358" s="62"/>
      <c r="AB358" s="62"/>
      <c r="AC358" s="62"/>
      <c r="AD358" s="62"/>
      <c r="AE358" s="62"/>
      <c r="AF358" s="63"/>
    </row>
    <row r="359" spans="1:32" x14ac:dyDescent="0.2">
      <c r="A359" s="401" t="s">
        <v>159</v>
      </c>
      <c r="B359" s="170" t="s">
        <v>244</v>
      </c>
      <c r="C359" s="166" t="s">
        <v>69</v>
      </c>
      <c r="D359" s="151" t="s">
        <v>222</v>
      </c>
      <c r="E359" s="149">
        <v>2015</v>
      </c>
      <c r="F359" s="12">
        <f t="shared" ref="F359:F364" si="32">SUM(G359:J359)</f>
        <v>1715</v>
      </c>
      <c r="G359" s="12"/>
      <c r="H359" s="12">
        <v>1715</v>
      </c>
      <c r="I359" s="12"/>
      <c r="J359" s="12"/>
      <c r="K359" s="151" t="s">
        <v>160</v>
      </c>
    </row>
    <row r="360" spans="1:32" x14ac:dyDescent="0.2">
      <c r="A360" s="333"/>
      <c r="B360" s="171"/>
      <c r="C360" s="167"/>
      <c r="D360" s="151"/>
      <c r="E360" s="141">
        <v>2016</v>
      </c>
      <c r="F360" s="14">
        <f t="shared" si="32"/>
        <v>931.30000000000018</v>
      </c>
      <c r="G360" s="14"/>
      <c r="H360" s="14">
        <f>2151.3-1220</f>
        <v>931.30000000000018</v>
      </c>
      <c r="I360" s="14"/>
      <c r="J360" s="14"/>
      <c r="K360" s="152"/>
      <c r="L360" s="124" t="s">
        <v>276</v>
      </c>
    </row>
    <row r="361" spans="1:32" x14ac:dyDescent="0.2">
      <c r="A361" s="333"/>
      <c r="B361" s="171"/>
      <c r="C361" s="167"/>
      <c r="D361" s="151"/>
      <c r="E361" s="141">
        <v>2017</v>
      </c>
      <c r="F361" s="14">
        <f t="shared" si="32"/>
        <v>1099.9999999999998</v>
      </c>
      <c r="G361" s="14"/>
      <c r="H361" s="14">
        <f>2058.7-1058.7+100</f>
        <v>1099.9999999999998</v>
      </c>
      <c r="I361" s="14"/>
      <c r="J361" s="14"/>
      <c r="K361" s="152"/>
      <c r="L361" s="124" t="s">
        <v>256</v>
      </c>
      <c r="M361" s="131"/>
    </row>
    <row r="362" spans="1:32" x14ac:dyDescent="0.2">
      <c r="A362" s="333"/>
      <c r="B362" s="171"/>
      <c r="C362" s="167"/>
      <c r="D362" s="151"/>
      <c r="E362" s="141">
        <v>2018</v>
      </c>
      <c r="F362" s="14">
        <f t="shared" si="32"/>
        <v>1000</v>
      </c>
      <c r="G362" s="14"/>
      <c r="H362" s="14">
        <f>1200-200</f>
        <v>1000</v>
      </c>
      <c r="I362" s="14"/>
      <c r="J362" s="14"/>
      <c r="K362" s="152"/>
      <c r="L362" s="124" t="s">
        <v>256</v>
      </c>
      <c r="M362" s="131"/>
    </row>
    <row r="363" spans="1:32" x14ac:dyDescent="0.2">
      <c r="A363" s="333"/>
      <c r="B363" s="171"/>
      <c r="C363" s="167"/>
      <c r="D363" s="151"/>
      <c r="E363" s="141">
        <v>2019</v>
      </c>
      <c r="F363" s="14">
        <f t="shared" si="32"/>
        <v>1000</v>
      </c>
      <c r="G363" s="14"/>
      <c r="H363" s="14">
        <f>1260-260</f>
        <v>1000</v>
      </c>
      <c r="I363" s="14"/>
      <c r="J363" s="14"/>
      <c r="K363" s="152"/>
      <c r="L363" s="124" t="s">
        <v>256</v>
      </c>
      <c r="M363" s="131"/>
    </row>
    <row r="364" spans="1:32" x14ac:dyDescent="0.2">
      <c r="A364" s="333"/>
      <c r="B364" s="171"/>
      <c r="C364" s="167"/>
      <c r="D364" s="151"/>
      <c r="E364" s="141">
        <v>2020</v>
      </c>
      <c r="F364" s="14">
        <f t="shared" si="32"/>
        <v>1530</v>
      </c>
      <c r="G364" s="14"/>
      <c r="H364" s="14">
        <v>1530</v>
      </c>
      <c r="I364" s="14"/>
      <c r="J364" s="14"/>
      <c r="K364" s="152"/>
    </row>
    <row r="365" spans="1:32" ht="63.75" customHeight="1" thickBot="1" x14ac:dyDescent="0.25">
      <c r="A365" s="402"/>
      <c r="B365" s="171"/>
      <c r="C365" s="168"/>
      <c r="D365" s="151"/>
      <c r="E365" s="24" t="s">
        <v>18</v>
      </c>
      <c r="F365" s="13">
        <f>SUM(F359:F364)</f>
        <v>7276.3</v>
      </c>
      <c r="G365" s="13"/>
      <c r="H365" s="13">
        <f>SUM(H359:H364)</f>
        <v>7276.3</v>
      </c>
      <c r="I365" s="14"/>
      <c r="J365" s="14"/>
      <c r="K365" s="153"/>
    </row>
    <row r="366" spans="1:32" ht="18" customHeight="1" x14ac:dyDescent="0.2">
      <c r="A366" s="397" t="s">
        <v>225</v>
      </c>
      <c r="B366" s="398"/>
      <c r="C366" s="398"/>
      <c r="D366" s="398"/>
      <c r="E366" s="398"/>
      <c r="F366" s="398"/>
      <c r="G366" s="398"/>
      <c r="H366" s="398"/>
      <c r="I366" s="398"/>
      <c r="J366" s="398"/>
      <c r="K366" s="399"/>
    </row>
    <row r="367" spans="1:32" ht="47.25" customHeight="1" x14ac:dyDescent="0.25">
      <c r="A367" s="400" t="s">
        <v>226</v>
      </c>
      <c r="B367" s="348"/>
      <c r="C367" s="348"/>
      <c r="D367" s="349"/>
      <c r="E367" s="99" t="s">
        <v>61</v>
      </c>
      <c r="F367" s="99" t="s">
        <v>18</v>
      </c>
      <c r="G367" s="99" t="s">
        <v>10</v>
      </c>
      <c r="H367" s="97" t="s">
        <v>11</v>
      </c>
      <c r="I367" s="97" t="s">
        <v>12</v>
      </c>
      <c r="J367" s="97" t="s">
        <v>13</v>
      </c>
      <c r="K367" s="58"/>
    </row>
    <row r="368" spans="1:32" ht="13.5" thickBot="1" x14ac:dyDescent="0.25">
      <c r="A368" s="91"/>
      <c r="B368" s="91"/>
      <c r="C368" s="91"/>
      <c r="D368" s="91"/>
      <c r="E368" s="91"/>
      <c r="F368" s="111">
        <f>SUM(G368:J368)</f>
        <v>3969566.85</v>
      </c>
      <c r="G368" s="111">
        <f>G365+G357+G348+G334+G292+G257</f>
        <v>0</v>
      </c>
      <c r="H368" s="111">
        <f>H365+H357+H348+H334+H292+H257</f>
        <v>3690203.6</v>
      </c>
      <c r="I368" s="111">
        <f>I365+I357+I348+I334+I292+I257</f>
        <v>279363.25</v>
      </c>
      <c r="J368" s="112"/>
      <c r="K368" s="91"/>
    </row>
    <row r="369" spans="1:35" ht="41.25" customHeight="1" x14ac:dyDescent="0.2">
      <c r="A369" s="308" t="s">
        <v>235</v>
      </c>
      <c r="B369" s="309"/>
      <c r="C369" s="309"/>
      <c r="D369" s="309"/>
      <c r="E369" s="309"/>
      <c r="F369" s="309"/>
      <c r="G369" s="309"/>
      <c r="H369" s="309"/>
      <c r="I369" s="309"/>
      <c r="J369" s="309"/>
      <c r="K369" s="309"/>
      <c r="L369" s="45"/>
      <c r="M369" s="45"/>
      <c r="N369" s="45"/>
      <c r="O369" s="45"/>
      <c r="P369" s="45"/>
      <c r="Q369" s="45"/>
      <c r="R369" s="45"/>
      <c r="S369" s="45"/>
      <c r="T369" s="45"/>
      <c r="U369" s="45"/>
      <c r="V369" s="45"/>
      <c r="W369" s="45"/>
      <c r="X369" s="45"/>
      <c r="Y369" s="45"/>
      <c r="Z369" s="45"/>
      <c r="AA369" s="45"/>
      <c r="AB369" s="45"/>
      <c r="AC369" s="45"/>
      <c r="AD369" s="45"/>
      <c r="AE369" s="45"/>
      <c r="AF369" s="45"/>
      <c r="AG369" s="45"/>
      <c r="AH369" s="45"/>
      <c r="AI369" s="46"/>
    </row>
    <row r="370" spans="1:35" ht="35.25" customHeight="1" x14ac:dyDescent="0.2">
      <c r="A370" s="373" t="s">
        <v>197</v>
      </c>
      <c r="B370" s="328"/>
      <c r="C370" s="328"/>
      <c r="D370" s="328"/>
      <c r="E370" s="328"/>
      <c r="F370" s="328"/>
      <c r="G370" s="328"/>
      <c r="H370" s="328"/>
      <c r="I370" s="328"/>
      <c r="J370" s="328"/>
      <c r="K370" s="328"/>
      <c r="L370" s="64"/>
      <c r="M370" s="64"/>
      <c r="N370" s="64"/>
      <c r="O370" s="64"/>
      <c r="P370" s="64"/>
      <c r="Q370" s="64"/>
      <c r="R370" s="64"/>
      <c r="S370" s="64"/>
      <c r="T370" s="64"/>
      <c r="U370" s="64"/>
      <c r="V370" s="64"/>
      <c r="W370" s="64"/>
      <c r="X370" s="64"/>
      <c r="Y370" s="64"/>
      <c r="Z370" s="64"/>
      <c r="AA370" s="64"/>
      <c r="AB370" s="64"/>
      <c r="AC370" s="64"/>
      <c r="AD370" s="64"/>
      <c r="AE370" s="64"/>
      <c r="AF370" s="64"/>
      <c r="AG370" s="64"/>
      <c r="AH370" s="64"/>
      <c r="AI370" s="65"/>
    </row>
    <row r="371" spans="1:35" x14ac:dyDescent="0.2">
      <c r="A371" s="332" t="s">
        <v>105</v>
      </c>
      <c r="B371" s="215" t="s">
        <v>70</v>
      </c>
      <c r="C371" s="194" t="s">
        <v>69</v>
      </c>
      <c r="D371" s="154" t="s">
        <v>222</v>
      </c>
      <c r="E371" s="141">
        <v>2015</v>
      </c>
      <c r="F371" s="141"/>
      <c r="G371" s="141"/>
      <c r="H371" s="141"/>
      <c r="I371" s="141"/>
      <c r="J371" s="141"/>
      <c r="K371" s="154" t="s">
        <v>161</v>
      </c>
    </row>
    <row r="372" spans="1:35" x14ac:dyDescent="0.2">
      <c r="A372" s="333"/>
      <c r="B372" s="205"/>
      <c r="C372" s="167"/>
      <c r="D372" s="151"/>
      <c r="E372" s="141">
        <v>2016</v>
      </c>
      <c r="F372" s="141"/>
      <c r="G372" s="141"/>
      <c r="H372" s="141"/>
      <c r="I372" s="141"/>
      <c r="J372" s="141"/>
      <c r="K372" s="151"/>
    </row>
    <row r="373" spans="1:35" x14ac:dyDescent="0.2">
      <c r="A373" s="333"/>
      <c r="B373" s="205"/>
      <c r="C373" s="167"/>
      <c r="D373" s="151"/>
      <c r="E373" s="141">
        <v>2017</v>
      </c>
      <c r="F373" s="141"/>
      <c r="G373" s="141"/>
      <c r="H373" s="141"/>
      <c r="I373" s="141"/>
      <c r="J373" s="141"/>
      <c r="K373" s="151"/>
    </row>
    <row r="374" spans="1:35" x14ac:dyDescent="0.2">
      <c r="A374" s="333"/>
      <c r="B374" s="205"/>
      <c r="C374" s="167"/>
      <c r="D374" s="151"/>
      <c r="E374" s="141">
        <v>2018</v>
      </c>
      <c r="F374" s="141"/>
      <c r="G374" s="141"/>
      <c r="H374" s="141"/>
      <c r="I374" s="141"/>
      <c r="J374" s="141"/>
      <c r="K374" s="151"/>
    </row>
    <row r="375" spans="1:35" x14ac:dyDescent="0.2">
      <c r="A375" s="333"/>
      <c r="B375" s="205"/>
      <c r="C375" s="167"/>
      <c r="D375" s="151"/>
      <c r="E375" s="141">
        <v>2019</v>
      </c>
      <c r="F375" s="141"/>
      <c r="G375" s="141"/>
      <c r="H375" s="141"/>
      <c r="I375" s="141"/>
      <c r="J375" s="141"/>
      <c r="K375" s="151"/>
    </row>
    <row r="376" spans="1:35" x14ac:dyDescent="0.2">
      <c r="A376" s="333"/>
      <c r="B376" s="205"/>
      <c r="C376" s="167"/>
      <c r="D376" s="151"/>
      <c r="E376" s="141">
        <v>2020</v>
      </c>
      <c r="F376" s="141"/>
      <c r="G376" s="141"/>
      <c r="H376" s="141"/>
      <c r="I376" s="141"/>
      <c r="J376" s="141"/>
      <c r="K376" s="151"/>
    </row>
    <row r="377" spans="1:35" ht="13.5" thickBot="1" x14ac:dyDescent="0.25">
      <c r="A377" s="333"/>
      <c r="B377" s="205"/>
      <c r="C377" s="167"/>
      <c r="D377" s="151"/>
      <c r="E377" s="32" t="s">
        <v>18</v>
      </c>
      <c r="F377" s="32"/>
      <c r="G377" s="148"/>
      <c r="H377" s="148"/>
      <c r="I377" s="148"/>
      <c r="J377" s="148"/>
      <c r="K377" s="151"/>
    </row>
    <row r="378" spans="1:35" ht="30" customHeight="1" thickBot="1" x14ac:dyDescent="0.25">
      <c r="A378" s="245" t="s">
        <v>198</v>
      </c>
      <c r="B378" s="328"/>
      <c r="C378" s="328"/>
      <c r="D378" s="328"/>
      <c r="E378" s="328"/>
      <c r="F378" s="328"/>
      <c r="G378" s="328"/>
      <c r="H378" s="328"/>
      <c r="I378" s="328"/>
      <c r="J378" s="328"/>
      <c r="K378" s="328"/>
      <c r="L378" s="66"/>
      <c r="M378" s="66"/>
      <c r="N378" s="66"/>
      <c r="O378" s="66"/>
      <c r="P378" s="66"/>
      <c r="Q378" s="66"/>
      <c r="R378" s="66"/>
      <c r="S378" s="66"/>
      <c r="T378" s="66"/>
      <c r="U378" s="66"/>
      <c r="V378" s="66"/>
      <c r="W378" s="66"/>
      <c r="X378" s="66"/>
      <c r="Y378" s="66"/>
      <c r="Z378" s="66"/>
      <c r="AA378" s="66"/>
      <c r="AB378" s="66"/>
      <c r="AC378" s="66"/>
      <c r="AD378" s="66"/>
      <c r="AE378" s="66"/>
      <c r="AF378" s="66"/>
      <c r="AG378" s="66"/>
      <c r="AH378" s="66"/>
      <c r="AI378" s="67"/>
    </row>
    <row r="379" spans="1:35" ht="15" thickBot="1" x14ac:dyDescent="0.25">
      <c r="A379" s="329" t="s">
        <v>71</v>
      </c>
      <c r="B379" s="330"/>
      <c r="C379" s="330"/>
      <c r="D379" s="330"/>
      <c r="E379" s="330"/>
      <c r="F379" s="330"/>
      <c r="G379" s="330"/>
      <c r="H379" s="330"/>
      <c r="I379" s="330"/>
      <c r="J379" s="330"/>
      <c r="K379" s="331"/>
      <c r="L379" s="68"/>
      <c r="M379" s="68"/>
      <c r="N379" s="68"/>
      <c r="O379" s="68"/>
      <c r="P379" s="68"/>
      <c r="Q379" s="68"/>
      <c r="R379" s="68"/>
      <c r="S379" s="68"/>
      <c r="T379" s="68"/>
      <c r="U379" s="68"/>
      <c r="V379" s="68"/>
      <c r="W379" s="68"/>
      <c r="X379" s="68"/>
      <c r="Y379" s="68"/>
      <c r="Z379" s="68"/>
      <c r="AA379" s="68"/>
      <c r="AB379" s="68"/>
      <c r="AC379" s="68"/>
      <c r="AD379" s="68"/>
      <c r="AE379" s="68"/>
      <c r="AF379" s="68"/>
      <c r="AG379" s="68"/>
      <c r="AH379" s="68"/>
      <c r="AI379" s="69"/>
    </row>
    <row r="380" spans="1:35" ht="12.75" customHeight="1" x14ac:dyDescent="0.2">
      <c r="A380" s="172" t="s">
        <v>65</v>
      </c>
      <c r="B380" s="327" t="s">
        <v>163</v>
      </c>
      <c r="C380" s="194" t="s">
        <v>69</v>
      </c>
      <c r="D380" s="154" t="s">
        <v>222</v>
      </c>
      <c r="E380" s="141">
        <v>2015</v>
      </c>
      <c r="F380" s="14">
        <f t="shared" ref="F380:F385" si="33">SUM(G380:J380)</f>
        <v>44637.9</v>
      </c>
      <c r="G380" s="14"/>
      <c r="H380" s="14"/>
      <c r="I380" s="14">
        <f>49100-1324.1-939.1-30-1573.9-583-12</f>
        <v>44637.9</v>
      </c>
      <c r="J380" s="14"/>
      <c r="K380" s="154" t="s">
        <v>162</v>
      </c>
    </row>
    <row r="381" spans="1:35" x14ac:dyDescent="0.2">
      <c r="A381" s="173"/>
      <c r="B381" s="186"/>
      <c r="C381" s="167"/>
      <c r="D381" s="151"/>
      <c r="E381" s="141">
        <v>2016</v>
      </c>
      <c r="F381" s="14">
        <f t="shared" si="33"/>
        <v>44921</v>
      </c>
      <c r="G381" s="14"/>
      <c r="H381" s="14"/>
      <c r="I381" s="14">
        <f>47428-1000-707-500-300</f>
        <v>44921</v>
      </c>
      <c r="J381" s="14"/>
      <c r="K381" s="151"/>
      <c r="L381" s="4" t="s">
        <v>291</v>
      </c>
    </row>
    <row r="382" spans="1:35" x14ac:dyDescent="0.2">
      <c r="A382" s="173"/>
      <c r="B382" s="186"/>
      <c r="C382" s="167"/>
      <c r="D382" s="151"/>
      <c r="E382" s="141">
        <v>2017</v>
      </c>
      <c r="F382" s="14">
        <f t="shared" si="33"/>
        <v>42110.2</v>
      </c>
      <c r="G382" s="14"/>
      <c r="H382" s="14"/>
      <c r="I382" s="14">
        <f>51555-9444.8</f>
        <v>42110.2</v>
      </c>
      <c r="J382" s="14"/>
      <c r="K382" s="151"/>
      <c r="L382" s="124" t="s">
        <v>256</v>
      </c>
      <c r="M382" s="131"/>
    </row>
    <row r="383" spans="1:35" x14ac:dyDescent="0.2">
      <c r="A383" s="173"/>
      <c r="B383" s="186"/>
      <c r="C383" s="167"/>
      <c r="D383" s="151"/>
      <c r="E383" s="141">
        <v>2018</v>
      </c>
      <c r="F383" s="14">
        <f t="shared" si="33"/>
        <v>46555</v>
      </c>
      <c r="G383" s="14"/>
      <c r="H383" s="14"/>
      <c r="I383" s="14">
        <f>63004.7-16449.7</f>
        <v>46555</v>
      </c>
      <c r="J383" s="14"/>
      <c r="K383" s="151"/>
      <c r="L383" s="124" t="s">
        <v>256</v>
      </c>
      <c r="M383" s="131"/>
    </row>
    <row r="384" spans="1:35" x14ac:dyDescent="0.2">
      <c r="A384" s="173"/>
      <c r="B384" s="186"/>
      <c r="C384" s="167"/>
      <c r="D384" s="151"/>
      <c r="E384" s="141">
        <v>2019</v>
      </c>
      <c r="F384" s="14">
        <f t="shared" ref="F384" si="34">SUM(G384:J384)</f>
        <v>46554.999999999993</v>
      </c>
      <c r="G384" s="14"/>
      <c r="H384" s="14"/>
      <c r="I384" s="14">
        <f>66280.9-19725.9</f>
        <v>46554.999999999993</v>
      </c>
      <c r="J384" s="14"/>
      <c r="K384" s="151"/>
      <c r="L384" s="124" t="s">
        <v>256</v>
      </c>
      <c r="M384" s="131"/>
    </row>
    <row r="385" spans="1:35" x14ac:dyDescent="0.2">
      <c r="A385" s="173"/>
      <c r="B385" s="186"/>
      <c r="C385" s="167"/>
      <c r="D385" s="151"/>
      <c r="E385" s="141">
        <v>2020</v>
      </c>
      <c r="F385" s="14">
        <f t="shared" si="33"/>
        <v>70058.899999999994</v>
      </c>
      <c r="G385" s="14"/>
      <c r="H385" s="14"/>
      <c r="I385" s="14">
        <v>70058.899999999994</v>
      </c>
      <c r="J385" s="14"/>
      <c r="K385" s="151"/>
    </row>
    <row r="386" spans="1:35" ht="15.75" customHeight="1" thickBot="1" x14ac:dyDescent="0.25">
      <c r="A386" s="173"/>
      <c r="B386" s="193"/>
      <c r="C386" s="168"/>
      <c r="D386" s="151"/>
      <c r="E386" s="24" t="s">
        <v>18</v>
      </c>
      <c r="F386" s="13">
        <f>SUM(F380:F385)</f>
        <v>294838</v>
      </c>
      <c r="G386" s="13"/>
      <c r="H386" s="13">
        <f>SUM(H383:H385)</f>
        <v>0</v>
      </c>
      <c r="I386" s="13">
        <f>SUM(I380:I385)</f>
        <v>294838</v>
      </c>
      <c r="J386" s="14"/>
      <c r="K386" s="155"/>
    </row>
    <row r="387" spans="1:35" ht="15" thickBot="1" x14ac:dyDescent="0.25">
      <c r="A387" s="243" t="s">
        <v>72</v>
      </c>
      <c r="B387" s="186"/>
      <c r="C387" s="186"/>
      <c r="D387" s="186"/>
      <c r="E387" s="186"/>
      <c r="F387" s="186"/>
      <c r="G387" s="186"/>
      <c r="H387" s="186"/>
      <c r="I387" s="186"/>
      <c r="J387" s="186"/>
      <c r="K387" s="186"/>
      <c r="L387" s="31"/>
      <c r="M387" s="70"/>
      <c r="N387" s="70"/>
      <c r="O387" s="70"/>
      <c r="P387" s="70"/>
      <c r="Q387" s="70"/>
      <c r="R387" s="70"/>
      <c r="S387" s="70"/>
      <c r="T387" s="70"/>
      <c r="U387" s="70"/>
      <c r="V387" s="70"/>
      <c r="W387" s="70"/>
      <c r="X387" s="70"/>
      <c r="Y387" s="70"/>
      <c r="Z387" s="70"/>
      <c r="AA387" s="70"/>
      <c r="AB387" s="70"/>
      <c r="AC387" s="70"/>
      <c r="AD387" s="70"/>
      <c r="AE387" s="70"/>
      <c r="AF387" s="70"/>
      <c r="AG387" s="70"/>
      <c r="AH387" s="70"/>
      <c r="AI387" s="71"/>
    </row>
    <row r="388" spans="1:35" x14ac:dyDescent="0.2">
      <c r="A388" s="325" t="s">
        <v>334</v>
      </c>
      <c r="B388" s="327" t="s">
        <v>164</v>
      </c>
      <c r="C388" s="194" t="s">
        <v>69</v>
      </c>
      <c r="D388" s="154" t="s">
        <v>222</v>
      </c>
      <c r="E388" s="141">
        <v>2015</v>
      </c>
      <c r="F388" s="14"/>
      <c r="G388" s="14"/>
      <c r="H388" s="14"/>
      <c r="I388" s="14"/>
      <c r="J388" s="14"/>
      <c r="K388" s="154" t="s">
        <v>165</v>
      </c>
      <c r="L388" s="34"/>
    </row>
    <row r="389" spans="1:35" x14ac:dyDescent="0.2">
      <c r="A389" s="326"/>
      <c r="B389" s="186"/>
      <c r="C389" s="167"/>
      <c r="D389" s="151"/>
      <c r="E389" s="141">
        <v>2016</v>
      </c>
      <c r="F389" s="14"/>
      <c r="G389" s="14"/>
      <c r="H389" s="14"/>
      <c r="I389" s="14"/>
      <c r="J389" s="14"/>
      <c r="K389" s="151"/>
    </row>
    <row r="390" spans="1:35" x14ac:dyDescent="0.2">
      <c r="A390" s="326"/>
      <c r="B390" s="186"/>
      <c r="C390" s="167"/>
      <c r="D390" s="151"/>
      <c r="E390" s="141">
        <v>2017</v>
      </c>
      <c r="F390" s="14"/>
      <c r="G390" s="14"/>
      <c r="H390" s="14"/>
      <c r="I390" s="14"/>
      <c r="J390" s="14"/>
      <c r="K390" s="151"/>
    </row>
    <row r="391" spans="1:35" x14ac:dyDescent="0.2">
      <c r="A391" s="326"/>
      <c r="B391" s="186"/>
      <c r="C391" s="167"/>
      <c r="D391" s="151"/>
      <c r="E391" s="141">
        <v>2018</v>
      </c>
      <c r="F391" s="14">
        <f>SUM(G391:J391)</f>
        <v>470</v>
      </c>
      <c r="G391" s="14"/>
      <c r="H391" s="14"/>
      <c r="I391" s="14"/>
      <c r="J391" s="14">
        <f>470</f>
        <v>470</v>
      </c>
      <c r="K391" s="151"/>
      <c r="L391" s="124" t="s">
        <v>271</v>
      </c>
    </row>
    <row r="392" spans="1:35" x14ac:dyDescent="0.2">
      <c r="A392" s="326"/>
      <c r="B392" s="186"/>
      <c r="C392" s="167"/>
      <c r="D392" s="151"/>
      <c r="E392" s="141">
        <v>2019</v>
      </c>
      <c r="F392" s="14">
        <f>SUM(G392:J392)</f>
        <v>500</v>
      </c>
      <c r="G392" s="14"/>
      <c r="H392" s="14"/>
      <c r="I392" s="14"/>
      <c r="J392" s="14">
        <f>500</f>
        <v>500</v>
      </c>
      <c r="K392" s="151"/>
      <c r="L392" s="4" t="s">
        <v>279</v>
      </c>
    </row>
    <row r="393" spans="1:35" x14ac:dyDescent="0.2">
      <c r="A393" s="326"/>
      <c r="B393" s="186"/>
      <c r="C393" s="167"/>
      <c r="D393" s="151"/>
      <c r="E393" s="141">
        <v>2020</v>
      </c>
      <c r="F393" s="14">
        <f>SUM(G393:J393)</f>
        <v>535</v>
      </c>
      <c r="G393" s="14"/>
      <c r="H393" s="14"/>
      <c r="I393" s="14"/>
      <c r="J393" s="14">
        <v>535</v>
      </c>
      <c r="K393" s="151"/>
    </row>
    <row r="394" spans="1:35" ht="25.5" customHeight="1" thickBot="1" x14ac:dyDescent="0.25">
      <c r="A394" s="326"/>
      <c r="B394" s="186"/>
      <c r="C394" s="168"/>
      <c r="D394" s="151"/>
      <c r="E394" s="24" t="s">
        <v>18</v>
      </c>
      <c r="F394" s="13">
        <f>SUM(F388:F393)</f>
        <v>1505</v>
      </c>
      <c r="G394" s="14"/>
      <c r="H394" s="14"/>
      <c r="I394" s="14"/>
      <c r="J394" s="13">
        <f>SUM(J388:J393)</f>
        <v>1505</v>
      </c>
      <c r="K394" s="155"/>
    </row>
    <row r="395" spans="1:35" x14ac:dyDescent="0.2">
      <c r="A395" s="337" t="s">
        <v>73</v>
      </c>
      <c r="B395" s="164" t="s">
        <v>166</v>
      </c>
      <c r="C395" s="194" t="s">
        <v>69</v>
      </c>
      <c r="D395" s="154" t="s">
        <v>222</v>
      </c>
      <c r="E395" s="149">
        <v>2015</v>
      </c>
      <c r="F395" s="12"/>
      <c r="G395" s="12"/>
      <c r="H395" s="12"/>
      <c r="I395" s="12"/>
      <c r="J395" s="12"/>
      <c r="K395" s="154" t="s">
        <v>165</v>
      </c>
    </row>
    <row r="396" spans="1:35" x14ac:dyDescent="0.2">
      <c r="A396" s="335"/>
      <c r="B396" s="186"/>
      <c r="C396" s="167"/>
      <c r="D396" s="151"/>
      <c r="E396" s="141">
        <v>2016</v>
      </c>
      <c r="F396" s="14"/>
      <c r="G396" s="14"/>
      <c r="H396" s="14"/>
      <c r="I396" s="14"/>
      <c r="J396" s="14"/>
      <c r="K396" s="151"/>
    </row>
    <row r="397" spans="1:35" x14ac:dyDescent="0.2">
      <c r="A397" s="335"/>
      <c r="B397" s="186"/>
      <c r="C397" s="167"/>
      <c r="D397" s="151"/>
      <c r="E397" s="141">
        <v>2017</v>
      </c>
      <c r="F397" s="14"/>
      <c r="G397" s="14"/>
      <c r="H397" s="14"/>
      <c r="I397" s="14"/>
      <c r="J397" s="14"/>
      <c r="K397" s="151"/>
    </row>
    <row r="398" spans="1:35" x14ac:dyDescent="0.2">
      <c r="A398" s="335"/>
      <c r="B398" s="186"/>
      <c r="C398" s="167"/>
      <c r="D398" s="151"/>
      <c r="E398" s="141">
        <v>2018</v>
      </c>
      <c r="F398" s="14">
        <f>SUM(G398:J398)</f>
        <v>540</v>
      </c>
      <c r="G398" s="14"/>
      <c r="H398" s="14"/>
      <c r="I398" s="14"/>
      <c r="J398" s="14">
        <f>540</f>
        <v>540</v>
      </c>
      <c r="K398" s="151"/>
      <c r="L398" s="124" t="s">
        <v>271</v>
      </c>
    </row>
    <row r="399" spans="1:35" x14ac:dyDescent="0.2">
      <c r="A399" s="335"/>
      <c r="B399" s="186"/>
      <c r="C399" s="167"/>
      <c r="D399" s="151"/>
      <c r="E399" s="141">
        <v>2019</v>
      </c>
      <c r="F399" s="14">
        <f>SUM(G399:J399)</f>
        <v>570</v>
      </c>
      <c r="G399" s="14"/>
      <c r="H399" s="14"/>
      <c r="I399" s="14"/>
      <c r="J399" s="14">
        <f>570</f>
        <v>570</v>
      </c>
      <c r="K399" s="151"/>
      <c r="L399" s="4" t="s">
        <v>271</v>
      </c>
    </row>
    <row r="400" spans="1:35" x14ac:dyDescent="0.2">
      <c r="A400" s="335"/>
      <c r="B400" s="186"/>
      <c r="C400" s="167"/>
      <c r="D400" s="151"/>
      <c r="E400" s="141">
        <v>2020</v>
      </c>
      <c r="F400" s="14">
        <f>SUM(G400:J400)</f>
        <v>600</v>
      </c>
      <c r="G400" s="14"/>
      <c r="H400" s="14"/>
      <c r="I400" s="14"/>
      <c r="J400" s="14">
        <v>600</v>
      </c>
      <c r="K400" s="151"/>
    </row>
    <row r="401" spans="1:14" x14ac:dyDescent="0.2">
      <c r="A401" s="338"/>
      <c r="B401" s="193"/>
      <c r="C401" s="167"/>
      <c r="D401" s="151"/>
      <c r="E401" s="32" t="s">
        <v>18</v>
      </c>
      <c r="F401" s="51">
        <f>SUM(F398:F400)</f>
        <v>1710</v>
      </c>
      <c r="G401" s="28"/>
      <c r="H401" s="28"/>
      <c r="I401" s="28"/>
      <c r="J401" s="51">
        <f>SUM(J395:J400)</f>
        <v>1710</v>
      </c>
      <c r="K401" s="151"/>
    </row>
    <row r="402" spans="1:14" x14ac:dyDescent="0.2">
      <c r="A402" s="334" t="s">
        <v>127</v>
      </c>
      <c r="B402" s="336" t="s">
        <v>232</v>
      </c>
      <c r="C402" s="194" t="s">
        <v>69</v>
      </c>
      <c r="D402" s="154" t="s">
        <v>222</v>
      </c>
      <c r="E402" s="141">
        <v>2015</v>
      </c>
      <c r="F402" s="14">
        <f t="shared" ref="F402:F407" si="35">SUM(G402:I402)</f>
        <v>1364.4</v>
      </c>
      <c r="G402" s="14"/>
      <c r="H402" s="14"/>
      <c r="I402" s="14">
        <f>1322.4+30+12</f>
        <v>1364.4</v>
      </c>
      <c r="J402" s="14"/>
      <c r="K402" s="154" t="s">
        <v>141</v>
      </c>
    </row>
    <row r="403" spans="1:14" x14ac:dyDescent="0.2">
      <c r="A403" s="335"/>
      <c r="B403" s="219"/>
      <c r="C403" s="167"/>
      <c r="D403" s="151"/>
      <c r="E403" s="141">
        <v>2016</v>
      </c>
      <c r="F403" s="12">
        <f t="shared" si="35"/>
        <v>1322.4</v>
      </c>
      <c r="G403" s="14"/>
      <c r="H403" s="14"/>
      <c r="I403" s="14">
        <v>1322.4</v>
      </c>
      <c r="J403" s="14"/>
      <c r="K403" s="151"/>
    </row>
    <row r="404" spans="1:14" x14ac:dyDescent="0.2">
      <c r="A404" s="335"/>
      <c r="B404" s="219"/>
      <c r="C404" s="167"/>
      <c r="D404" s="151"/>
      <c r="E404" s="141">
        <v>2017</v>
      </c>
      <c r="F404" s="12">
        <f t="shared" si="35"/>
        <v>1338.3000000000002</v>
      </c>
      <c r="G404" s="14"/>
      <c r="H404" s="14"/>
      <c r="I404" s="14">
        <f>1322.4+15.9</f>
        <v>1338.3000000000002</v>
      </c>
      <c r="J404" s="14"/>
      <c r="K404" s="151"/>
      <c r="L404" s="124" t="s">
        <v>256</v>
      </c>
      <c r="M404" s="130" t="s">
        <v>292</v>
      </c>
      <c r="N404" s="131"/>
    </row>
    <row r="405" spans="1:14" x14ac:dyDescent="0.2">
      <c r="A405" s="335"/>
      <c r="B405" s="219"/>
      <c r="C405" s="167"/>
      <c r="D405" s="151"/>
      <c r="E405" s="141">
        <v>2018</v>
      </c>
      <c r="F405" s="12">
        <f t="shared" si="35"/>
        <v>1524.8</v>
      </c>
      <c r="G405" s="14"/>
      <c r="H405" s="14"/>
      <c r="I405" s="14">
        <f>1312+212.8</f>
        <v>1524.8</v>
      </c>
      <c r="J405" s="14"/>
      <c r="K405" s="151"/>
      <c r="L405" s="124" t="s">
        <v>256</v>
      </c>
      <c r="M405" s="130" t="s">
        <v>293</v>
      </c>
      <c r="N405" s="131"/>
    </row>
    <row r="406" spans="1:14" x14ac:dyDescent="0.2">
      <c r="A406" s="335"/>
      <c r="B406" s="219"/>
      <c r="C406" s="167"/>
      <c r="D406" s="151"/>
      <c r="E406" s="141">
        <v>2019</v>
      </c>
      <c r="F406" s="12">
        <f t="shared" ref="F406" si="36">SUM(G406:I406)</f>
        <v>1524.8</v>
      </c>
      <c r="G406" s="14"/>
      <c r="H406" s="14"/>
      <c r="I406" s="14">
        <f>1292.3+232.5</f>
        <v>1524.8</v>
      </c>
      <c r="J406" s="14"/>
      <c r="K406" s="151"/>
      <c r="L406" s="124" t="s">
        <v>256</v>
      </c>
      <c r="M406" s="130" t="s">
        <v>294</v>
      </c>
      <c r="N406" s="131"/>
    </row>
    <row r="407" spans="1:14" x14ac:dyDescent="0.2">
      <c r="A407" s="335"/>
      <c r="B407" s="219"/>
      <c r="C407" s="167"/>
      <c r="D407" s="151"/>
      <c r="E407" s="141">
        <v>2020</v>
      </c>
      <c r="F407" s="12">
        <f t="shared" si="35"/>
        <v>1236.0999999999999</v>
      </c>
      <c r="G407" s="14"/>
      <c r="H407" s="14"/>
      <c r="I407" s="14">
        <v>1236.0999999999999</v>
      </c>
      <c r="J407" s="14"/>
      <c r="K407" s="151"/>
    </row>
    <row r="408" spans="1:14" ht="29.25" customHeight="1" x14ac:dyDescent="0.2">
      <c r="A408" s="335"/>
      <c r="B408" s="219"/>
      <c r="C408" s="180"/>
      <c r="D408" s="155"/>
      <c r="E408" s="24" t="s">
        <v>18</v>
      </c>
      <c r="F408" s="13">
        <f>SUM(F402:F407)</f>
        <v>8310.8000000000011</v>
      </c>
      <c r="G408" s="14"/>
      <c r="H408" s="14"/>
      <c r="I408" s="13">
        <f>SUM(I402:I407)</f>
        <v>8310.8000000000011</v>
      </c>
      <c r="J408" s="14"/>
      <c r="K408" s="155"/>
    </row>
    <row r="409" spans="1:14" x14ac:dyDescent="0.2">
      <c r="A409" s="334" t="s">
        <v>128</v>
      </c>
      <c r="B409" s="336" t="s">
        <v>227</v>
      </c>
      <c r="C409" s="194" t="s">
        <v>69</v>
      </c>
      <c r="D409" s="154" t="s">
        <v>222</v>
      </c>
      <c r="E409" s="141">
        <v>2015</v>
      </c>
      <c r="F409" s="14">
        <f>H409+I409</f>
        <v>260.60000000000002</v>
      </c>
      <c r="G409" s="14"/>
      <c r="H409" s="14">
        <v>230</v>
      </c>
      <c r="I409" s="14">
        <v>30.6</v>
      </c>
      <c r="J409" s="14"/>
      <c r="K409" s="154" t="s">
        <v>167</v>
      </c>
    </row>
    <row r="410" spans="1:14" x14ac:dyDescent="0.2">
      <c r="A410" s="335"/>
      <c r="B410" s="219"/>
      <c r="C410" s="167"/>
      <c r="D410" s="151"/>
      <c r="E410" s="141">
        <v>2016</v>
      </c>
      <c r="F410" s="12"/>
      <c r="G410" s="14"/>
      <c r="H410" s="14"/>
      <c r="I410" s="14"/>
      <c r="J410" s="14"/>
      <c r="K410" s="151"/>
    </row>
    <row r="411" spans="1:14" x14ac:dyDescent="0.2">
      <c r="A411" s="335"/>
      <c r="B411" s="219"/>
      <c r="C411" s="167"/>
      <c r="D411" s="151"/>
      <c r="E411" s="141">
        <v>2017</v>
      </c>
      <c r="F411" s="12"/>
      <c r="G411" s="14"/>
      <c r="H411" s="14"/>
      <c r="I411" s="14"/>
      <c r="J411" s="14"/>
      <c r="K411" s="151"/>
    </row>
    <row r="412" spans="1:14" x14ac:dyDescent="0.2">
      <c r="A412" s="335"/>
      <c r="B412" s="219"/>
      <c r="C412" s="167"/>
      <c r="D412" s="151"/>
      <c r="E412" s="141">
        <v>2018</v>
      </c>
      <c r="F412" s="12"/>
      <c r="G412" s="14"/>
      <c r="H412" s="14"/>
      <c r="I412" s="14"/>
      <c r="J412" s="14"/>
      <c r="K412" s="151"/>
    </row>
    <row r="413" spans="1:14" x14ac:dyDescent="0.2">
      <c r="A413" s="335"/>
      <c r="B413" s="219"/>
      <c r="C413" s="167"/>
      <c r="D413" s="151"/>
      <c r="E413" s="141">
        <v>2019</v>
      </c>
      <c r="F413" s="12"/>
      <c r="G413" s="14"/>
      <c r="H413" s="14"/>
      <c r="I413" s="14"/>
      <c r="J413" s="14"/>
      <c r="K413" s="151"/>
    </row>
    <row r="414" spans="1:14" x14ac:dyDescent="0.2">
      <c r="A414" s="335"/>
      <c r="B414" s="219"/>
      <c r="C414" s="167"/>
      <c r="D414" s="151"/>
      <c r="E414" s="141">
        <v>2020</v>
      </c>
      <c r="F414" s="12"/>
      <c r="G414" s="14"/>
      <c r="H414" s="14"/>
      <c r="I414" s="14"/>
      <c r="J414" s="14"/>
      <c r="K414" s="151"/>
    </row>
    <row r="415" spans="1:14" x14ac:dyDescent="0.2">
      <c r="A415" s="335"/>
      <c r="B415" s="219"/>
      <c r="C415" s="180"/>
      <c r="D415" s="155"/>
      <c r="E415" s="24" t="s">
        <v>18</v>
      </c>
      <c r="F415" s="13">
        <f>SUM(F409:F414)</f>
        <v>260.60000000000002</v>
      </c>
      <c r="G415" s="14"/>
      <c r="H415" s="13">
        <f>H414+H413+H412+H411+H409+H410</f>
        <v>230</v>
      </c>
      <c r="I415" s="13">
        <f>SUM(I409:I414)</f>
        <v>30.6</v>
      </c>
      <c r="J415" s="14"/>
      <c r="K415" s="155"/>
    </row>
    <row r="416" spans="1:14" ht="15" customHeight="1" x14ac:dyDescent="0.2">
      <c r="A416" s="247" t="s">
        <v>339</v>
      </c>
      <c r="B416" s="208" t="s">
        <v>254</v>
      </c>
      <c r="C416" s="166" t="s">
        <v>228</v>
      </c>
      <c r="D416" s="151" t="s">
        <v>222</v>
      </c>
      <c r="E416" s="149">
        <v>2016</v>
      </c>
      <c r="F416" s="113">
        <f>G416+H416+I416</f>
        <v>445</v>
      </c>
      <c r="G416" s="114"/>
      <c r="H416" s="114"/>
      <c r="I416" s="113">
        <v>445</v>
      </c>
      <c r="J416" s="113"/>
      <c r="K416" s="151" t="s">
        <v>143</v>
      </c>
    </row>
    <row r="417" spans="1:35" ht="12.75" customHeight="1" x14ac:dyDescent="0.2">
      <c r="A417" s="247"/>
      <c r="B417" s="209"/>
      <c r="C417" s="166"/>
      <c r="D417" s="151"/>
      <c r="E417" s="141">
        <v>2017</v>
      </c>
      <c r="F417" s="113">
        <f>G417+H417+I417</f>
        <v>480.6</v>
      </c>
      <c r="G417" s="51"/>
      <c r="H417" s="51"/>
      <c r="I417" s="28">
        <v>480.6</v>
      </c>
      <c r="J417" s="28"/>
      <c r="K417" s="151"/>
      <c r="L417" s="124" t="s">
        <v>255</v>
      </c>
      <c r="O417" s="124" t="s">
        <v>259</v>
      </c>
    </row>
    <row r="418" spans="1:35" ht="15" customHeight="1" x14ac:dyDescent="0.2">
      <c r="A418" s="247"/>
      <c r="B418" s="209"/>
      <c r="C418" s="166"/>
      <c r="D418" s="151"/>
      <c r="E418" s="141">
        <v>2018</v>
      </c>
      <c r="F418" s="113">
        <f>G418+H418+I418</f>
        <v>480.6</v>
      </c>
      <c r="G418" s="51"/>
      <c r="H418" s="51"/>
      <c r="I418" s="28">
        <v>480.6</v>
      </c>
      <c r="J418" s="28"/>
      <c r="K418" s="151"/>
      <c r="L418" s="124" t="s">
        <v>255</v>
      </c>
    </row>
    <row r="419" spans="1:35" ht="13.5" customHeight="1" x14ac:dyDescent="0.2">
      <c r="A419" s="247"/>
      <c r="B419" s="209"/>
      <c r="C419" s="166"/>
      <c r="D419" s="151"/>
      <c r="E419" s="141">
        <v>2019</v>
      </c>
      <c r="F419" s="113">
        <f>G419+H419+I419</f>
        <v>480.6</v>
      </c>
      <c r="G419" s="51"/>
      <c r="H419" s="51"/>
      <c r="I419" s="28">
        <v>480.6</v>
      </c>
      <c r="J419" s="28"/>
      <c r="K419" s="151"/>
      <c r="L419" s="124" t="s">
        <v>255</v>
      </c>
    </row>
    <row r="420" spans="1:35" ht="12.75" customHeight="1" x14ac:dyDescent="0.2">
      <c r="A420" s="247"/>
      <c r="B420" s="209"/>
      <c r="C420" s="166"/>
      <c r="D420" s="151"/>
      <c r="E420" s="141">
        <v>2020</v>
      </c>
      <c r="F420" s="51"/>
      <c r="G420" s="51"/>
      <c r="H420" s="51"/>
      <c r="I420" s="51"/>
      <c r="J420" s="28"/>
      <c r="K420" s="151"/>
    </row>
    <row r="421" spans="1:35" ht="21" customHeight="1" x14ac:dyDescent="0.2">
      <c r="A421" s="248"/>
      <c r="B421" s="164"/>
      <c r="C421" s="207"/>
      <c r="D421" s="155"/>
      <c r="E421" s="32" t="s">
        <v>18</v>
      </c>
      <c r="F421" s="51">
        <f>G421+H421+I421</f>
        <v>1886.8000000000002</v>
      </c>
      <c r="G421" s="51"/>
      <c r="H421" s="51"/>
      <c r="I421" s="51">
        <f>SUM(I416:I420)</f>
        <v>1886.8000000000002</v>
      </c>
      <c r="J421" s="28"/>
      <c r="K421" s="155"/>
    </row>
    <row r="422" spans="1:35" ht="15" customHeight="1" x14ac:dyDescent="0.2">
      <c r="A422" s="247" t="s">
        <v>340</v>
      </c>
      <c r="B422" s="208" t="s">
        <v>310</v>
      </c>
      <c r="C422" s="166" t="s">
        <v>228</v>
      </c>
      <c r="D422" s="151" t="s">
        <v>222</v>
      </c>
      <c r="E422" s="141">
        <v>2017</v>
      </c>
      <c r="F422" s="14">
        <f>G422+H422+I422</f>
        <v>1169.2</v>
      </c>
      <c r="G422" s="13"/>
      <c r="H422" s="13"/>
      <c r="I422" s="14">
        <v>1169.2</v>
      </c>
      <c r="J422" s="14"/>
      <c r="K422" s="151" t="s">
        <v>311</v>
      </c>
    </row>
    <row r="423" spans="1:35" ht="52.5" customHeight="1" thickBot="1" x14ac:dyDescent="0.25">
      <c r="A423" s="248"/>
      <c r="B423" s="164"/>
      <c r="C423" s="207"/>
      <c r="D423" s="155"/>
      <c r="E423" s="32" t="s">
        <v>18</v>
      </c>
      <c r="F423" s="51">
        <f>G423+H423+I423</f>
        <v>1169.2</v>
      </c>
      <c r="G423" s="51"/>
      <c r="H423" s="51"/>
      <c r="I423" s="51">
        <f>SUM(I422:I422)</f>
        <v>1169.2</v>
      </c>
      <c r="J423" s="28"/>
      <c r="K423" s="155"/>
    </row>
    <row r="424" spans="1:35" ht="27" customHeight="1" thickBot="1" x14ac:dyDescent="0.25">
      <c r="A424" s="273" t="s">
        <v>187</v>
      </c>
      <c r="B424" s="274"/>
      <c r="C424" s="274"/>
      <c r="D424" s="275"/>
      <c r="E424" s="6" t="s">
        <v>61</v>
      </c>
      <c r="F424" s="17">
        <f>SUM(G424:J424)</f>
        <v>309680.39999999997</v>
      </c>
      <c r="G424" s="19">
        <f>G386+G394+G401+G408</f>
        <v>0</v>
      </c>
      <c r="H424" s="17">
        <f>H386+H394+H401+H408+H377+H415</f>
        <v>230</v>
      </c>
      <c r="I424" s="17">
        <f>I386+I394+I401+I408+I377+I415+I421+I423</f>
        <v>306235.39999999997</v>
      </c>
      <c r="J424" s="19">
        <f>J386+J394+J401+J408+J377</f>
        <v>3215</v>
      </c>
      <c r="K424" s="6"/>
      <c r="L424" s="56"/>
      <c r="M424" s="56"/>
      <c r="N424" s="72"/>
    </row>
    <row r="425" spans="1:35" ht="39" customHeight="1" thickBot="1" x14ac:dyDescent="0.3">
      <c r="A425" s="243" t="s">
        <v>74</v>
      </c>
      <c r="B425" s="186"/>
      <c r="C425" s="186"/>
      <c r="D425" s="186"/>
      <c r="E425" s="186"/>
      <c r="F425" s="186"/>
      <c r="G425" s="186"/>
      <c r="H425" s="186"/>
      <c r="I425" s="186"/>
      <c r="J425" s="186"/>
      <c r="K425" s="186"/>
      <c r="L425" s="73"/>
      <c r="M425" s="73"/>
      <c r="N425" s="73"/>
      <c r="O425" s="73"/>
      <c r="P425" s="73"/>
      <c r="Q425" s="73"/>
      <c r="R425" s="73"/>
      <c r="S425" s="73"/>
      <c r="T425" s="73"/>
      <c r="U425" s="73"/>
      <c r="V425" s="73"/>
      <c r="W425" s="73"/>
      <c r="X425" s="73"/>
      <c r="Y425" s="73"/>
      <c r="Z425" s="73"/>
      <c r="AA425" s="73"/>
      <c r="AB425" s="73"/>
      <c r="AC425" s="73"/>
      <c r="AD425" s="73"/>
      <c r="AE425" s="73"/>
      <c r="AF425" s="73"/>
      <c r="AG425" s="73"/>
      <c r="AH425" s="73"/>
      <c r="AI425" s="74"/>
    </row>
    <row r="426" spans="1:35" ht="24" customHeight="1" thickBot="1" x14ac:dyDescent="0.25">
      <c r="A426" s="394" t="s">
        <v>75</v>
      </c>
      <c r="B426" s="193"/>
      <c r="C426" s="193"/>
      <c r="D426" s="193"/>
      <c r="E426" s="193"/>
      <c r="F426" s="193"/>
      <c r="G426" s="193"/>
      <c r="H426" s="193"/>
      <c r="I426" s="193"/>
      <c r="J426" s="193"/>
      <c r="K426" s="193"/>
      <c r="L426" s="70"/>
      <c r="M426" s="70"/>
      <c r="N426" s="70"/>
      <c r="O426" s="70"/>
      <c r="P426" s="70"/>
      <c r="Q426" s="70"/>
      <c r="R426" s="70"/>
      <c r="S426" s="70"/>
      <c r="T426" s="70"/>
      <c r="U426" s="70"/>
      <c r="V426" s="70"/>
      <c r="W426" s="70"/>
      <c r="X426" s="70"/>
      <c r="Y426" s="70"/>
      <c r="Z426" s="70"/>
      <c r="AA426" s="70"/>
      <c r="AB426" s="70"/>
      <c r="AC426" s="70"/>
      <c r="AD426" s="70"/>
      <c r="AE426" s="70"/>
      <c r="AF426" s="70"/>
      <c r="AG426" s="70"/>
      <c r="AH426" s="70"/>
      <c r="AI426" s="71"/>
    </row>
    <row r="427" spans="1:35" ht="12.75" customHeight="1" x14ac:dyDescent="0.2">
      <c r="A427" s="416" t="s">
        <v>95</v>
      </c>
      <c r="B427" s="391" t="s">
        <v>168</v>
      </c>
      <c r="C427" s="194" t="s">
        <v>69</v>
      </c>
      <c r="D427" s="154" t="s">
        <v>222</v>
      </c>
      <c r="E427" s="141">
        <v>2015</v>
      </c>
      <c r="F427" s="95">
        <f t="shared" ref="F427:F432" si="37">SUM(G427:I427)</f>
        <v>25</v>
      </c>
      <c r="G427" s="14"/>
      <c r="H427" s="14"/>
      <c r="I427" s="14">
        <v>25</v>
      </c>
      <c r="J427" s="14"/>
      <c r="K427" s="154" t="s">
        <v>170</v>
      </c>
    </row>
    <row r="428" spans="1:35" x14ac:dyDescent="0.2">
      <c r="A428" s="417"/>
      <c r="B428" s="392"/>
      <c r="C428" s="167"/>
      <c r="D428" s="167"/>
      <c r="E428" s="141">
        <v>2016</v>
      </c>
      <c r="F428" s="95">
        <f t="shared" si="37"/>
        <v>23.6</v>
      </c>
      <c r="G428" s="14"/>
      <c r="H428" s="14"/>
      <c r="I428" s="14">
        <f>26.3-2.7</f>
        <v>23.6</v>
      </c>
      <c r="J428" s="14"/>
      <c r="K428" s="151"/>
    </row>
    <row r="429" spans="1:35" x14ac:dyDescent="0.2">
      <c r="A429" s="417"/>
      <c r="B429" s="392"/>
      <c r="C429" s="167"/>
      <c r="D429" s="167"/>
      <c r="E429" s="141">
        <v>2017</v>
      </c>
      <c r="F429" s="95">
        <f t="shared" si="37"/>
        <v>27</v>
      </c>
      <c r="G429" s="14"/>
      <c r="H429" s="14"/>
      <c r="I429" s="14">
        <v>27</v>
      </c>
      <c r="J429" s="14"/>
      <c r="K429" s="151"/>
      <c r="L429" s="124" t="s">
        <v>274</v>
      </c>
    </row>
    <row r="430" spans="1:35" x14ac:dyDescent="0.2">
      <c r="A430" s="417"/>
      <c r="B430" s="392"/>
      <c r="C430" s="167"/>
      <c r="D430" s="167"/>
      <c r="E430" s="141">
        <v>2018</v>
      </c>
      <c r="F430" s="95">
        <f t="shared" si="37"/>
        <v>27.9</v>
      </c>
      <c r="G430" s="14"/>
      <c r="H430" s="14"/>
      <c r="I430" s="14">
        <v>27.9</v>
      </c>
      <c r="J430" s="14"/>
      <c r="K430" s="151"/>
      <c r="L430" s="124" t="s">
        <v>274</v>
      </c>
    </row>
    <row r="431" spans="1:35" x14ac:dyDescent="0.2">
      <c r="A431" s="417"/>
      <c r="B431" s="392"/>
      <c r="C431" s="167"/>
      <c r="D431" s="167"/>
      <c r="E431" s="141">
        <v>2019</v>
      </c>
      <c r="F431" s="95">
        <f t="shared" si="37"/>
        <v>29</v>
      </c>
      <c r="G431" s="14"/>
      <c r="H431" s="14"/>
      <c r="I431" s="14">
        <v>29</v>
      </c>
      <c r="J431" s="14"/>
      <c r="K431" s="151"/>
      <c r="L431" s="124" t="s">
        <v>274</v>
      </c>
    </row>
    <row r="432" spans="1:35" x14ac:dyDescent="0.2">
      <c r="A432" s="417"/>
      <c r="B432" s="392"/>
      <c r="C432" s="167"/>
      <c r="D432" s="167"/>
      <c r="E432" s="141">
        <v>2020</v>
      </c>
      <c r="F432" s="95">
        <f t="shared" si="37"/>
        <v>30</v>
      </c>
      <c r="G432" s="13"/>
      <c r="H432" s="13"/>
      <c r="I432" s="14">
        <v>30</v>
      </c>
      <c r="J432" s="13"/>
      <c r="K432" s="151"/>
    </row>
    <row r="433" spans="1:12" ht="13.5" thickBot="1" x14ac:dyDescent="0.25">
      <c r="A433" s="418"/>
      <c r="B433" s="393"/>
      <c r="C433" s="168"/>
      <c r="D433" s="180"/>
      <c r="E433" s="24" t="s">
        <v>18</v>
      </c>
      <c r="F433" s="20">
        <f>SUM(F427:F432)</f>
        <v>162.5</v>
      </c>
      <c r="G433" s="13"/>
      <c r="H433" s="13"/>
      <c r="I433" s="13">
        <f>SUM(I427:I432)</f>
        <v>162.5</v>
      </c>
      <c r="J433" s="13"/>
      <c r="K433" s="151"/>
    </row>
    <row r="434" spans="1:12" x14ac:dyDescent="0.2">
      <c r="A434" s="416" t="s">
        <v>68</v>
      </c>
      <c r="B434" s="391" t="s">
        <v>233</v>
      </c>
      <c r="C434" s="194" t="s">
        <v>69</v>
      </c>
      <c r="D434" s="154" t="s">
        <v>222</v>
      </c>
      <c r="E434" s="141">
        <v>2015</v>
      </c>
      <c r="F434" s="95">
        <f t="shared" ref="F434:F439" si="38">SUM(G434:I434)</f>
        <v>15</v>
      </c>
      <c r="G434" s="14"/>
      <c r="H434" s="14"/>
      <c r="I434" s="14">
        <v>15</v>
      </c>
      <c r="J434" s="14"/>
      <c r="K434" s="151"/>
    </row>
    <row r="435" spans="1:12" x14ac:dyDescent="0.2">
      <c r="A435" s="417"/>
      <c r="B435" s="392"/>
      <c r="C435" s="167"/>
      <c r="D435" s="167"/>
      <c r="E435" s="141">
        <v>2016</v>
      </c>
      <c r="F435" s="95">
        <f t="shared" si="38"/>
        <v>15</v>
      </c>
      <c r="G435" s="14"/>
      <c r="H435" s="14"/>
      <c r="I435" s="14">
        <f>16-1</f>
        <v>15</v>
      </c>
      <c r="J435" s="14"/>
      <c r="K435" s="151"/>
    </row>
    <row r="436" spans="1:12" x14ac:dyDescent="0.2">
      <c r="A436" s="417"/>
      <c r="B436" s="392"/>
      <c r="C436" s="167"/>
      <c r="D436" s="167"/>
      <c r="E436" s="141">
        <v>2017</v>
      </c>
      <c r="F436" s="95">
        <f t="shared" si="38"/>
        <v>16</v>
      </c>
      <c r="G436" s="14"/>
      <c r="H436" s="14"/>
      <c r="I436" s="14">
        <f>18-2</f>
        <v>16</v>
      </c>
      <c r="J436" s="14"/>
      <c r="K436" s="151"/>
      <c r="L436" s="124" t="s">
        <v>256</v>
      </c>
    </row>
    <row r="437" spans="1:12" x14ac:dyDescent="0.2">
      <c r="A437" s="417"/>
      <c r="B437" s="392"/>
      <c r="C437" s="167"/>
      <c r="D437" s="167"/>
      <c r="E437" s="141">
        <v>2018</v>
      </c>
      <c r="F437" s="95">
        <f t="shared" si="38"/>
        <v>19.5</v>
      </c>
      <c r="G437" s="14"/>
      <c r="H437" s="14"/>
      <c r="I437" s="14">
        <v>19.5</v>
      </c>
      <c r="J437" s="14"/>
      <c r="K437" s="151"/>
      <c r="L437" s="124" t="s">
        <v>274</v>
      </c>
    </row>
    <row r="438" spans="1:12" x14ac:dyDescent="0.2">
      <c r="A438" s="417"/>
      <c r="B438" s="392"/>
      <c r="C438" s="167"/>
      <c r="D438" s="167"/>
      <c r="E438" s="141">
        <v>2019</v>
      </c>
      <c r="F438" s="95">
        <f t="shared" si="38"/>
        <v>20.5</v>
      </c>
      <c r="G438" s="14"/>
      <c r="H438" s="14"/>
      <c r="I438" s="14">
        <v>20.5</v>
      </c>
      <c r="J438" s="14"/>
      <c r="K438" s="151"/>
      <c r="L438" s="124" t="s">
        <v>274</v>
      </c>
    </row>
    <row r="439" spans="1:12" x14ac:dyDescent="0.2">
      <c r="A439" s="417"/>
      <c r="B439" s="392"/>
      <c r="C439" s="167"/>
      <c r="D439" s="167"/>
      <c r="E439" s="141">
        <v>2020</v>
      </c>
      <c r="F439" s="95">
        <f t="shared" si="38"/>
        <v>22</v>
      </c>
      <c r="G439" s="13"/>
      <c r="H439" s="13"/>
      <c r="I439" s="14">
        <v>22</v>
      </c>
      <c r="J439" s="13"/>
      <c r="K439" s="151"/>
    </row>
    <row r="440" spans="1:12" ht="13.5" thickBot="1" x14ac:dyDescent="0.25">
      <c r="A440" s="418"/>
      <c r="B440" s="393"/>
      <c r="C440" s="168"/>
      <c r="D440" s="180"/>
      <c r="E440" s="24" t="s">
        <v>18</v>
      </c>
      <c r="F440" s="20">
        <f>SUM(F434:F439)</f>
        <v>108</v>
      </c>
      <c r="G440" s="13"/>
      <c r="H440" s="13"/>
      <c r="I440" s="13">
        <f>SUM(I434:I439)</f>
        <v>108</v>
      </c>
      <c r="J440" s="13"/>
      <c r="K440" s="155"/>
    </row>
    <row r="441" spans="1:12" ht="14.25" x14ac:dyDescent="0.2">
      <c r="A441" s="243" t="s">
        <v>76</v>
      </c>
      <c r="B441" s="186"/>
      <c r="C441" s="186"/>
      <c r="D441" s="186"/>
      <c r="E441" s="186"/>
      <c r="F441" s="186"/>
      <c r="G441" s="186"/>
      <c r="H441" s="186"/>
      <c r="I441" s="186"/>
      <c r="J441" s="186"/>
      <c r="K441" s="186"/>
    </row>
    <row r="442" spans="1:12" x14ac:dyDescent="0.2">
      <c r="A442" s="419" t="s">
        <v>43</v>
      </c>
      <c r="B442" s="343" t="s">
        <v>137</v>
      </c>
      <c r="C442" s="194" t="s">
        <v>69</v>
      </c>
      <c r="D442" s="154" t="s">
        <v>222</v>
      </c>
      <c r="E442" s="141">
        <v>2015</v>
      </c>
      <c r="F442" s="95">
        <f t="shared" ref="F442:F447" si="39">SUM(G442:I442)</f>
        <v>10</v>
      </c>
      <c r="G442" s="14"/>
      <c r="H442" s="14"/>
      <c r="I442" s="14">
        <v>10</v>
      </c>
      <c r="J442" s="14"/>
      <c r="K442" s="154" t="s">
        <v>169</v>
      </c>
    </row>
    <row r="443" spans="1:12" x14ac:dyDescent="0.2">
      <c r="A443" s="420"/>
      <c r="B443" s="203"/>
      <c r="C443" s="167"/>
      <c r="D443" s="167"/>
      <c r="E443" s="141">
        <v>2016</v>
      </c>
      <c r="F443" s="95">
        <f t="shared" si="39"/>
        <v>7.7</v>
      </c>
      <c r="G443" s="14"/>
      <c r="H443" s="14"/>
      <c r="I443" s="14">
        <f>11-3.3</f>
        <v>7.7</v>
      </c>
      <c r="J443" s="14"/>
      <c r="K443" s="151"/>
    </row>
    <row r="444" spans="1:12" x14ac:dyDescent="0.2">
      <c r="A444" s="420"/>
      <c r="B444" s="203"/>
      <c r="C444" s="167"/>
      <c r="D444" s="167"/>
      <c r="E444" s="141">
        <v>2017</v>
      </c>
      <c r="F444" s="95">
        <f t="shared" si="39"/>
        <v>8.6999999999999993</v>
      </c>
      <c r="G444" s="14"/>
      <c r="H444" s="14"/>
      <c r="I444" s="14">
        <f>12-3.3</f>
        <v>8.6999999999999993</v>
      </c>
      <c r="J444" s="14"/>
      <c r="K444" s="151"/>
      <c r="L444" s="124" t="s">
        <v>256</v>
      </c>
    </row>
    <row r="445" spans="1:12" x14ac:dyDescent="0.2">
      <c r="A445" s="420"/>
      <c r="B445" s="203"/>
      <c r="C445" s="167"/>
      <c r="D445" s="167"/>
      <c r="E445" s="141">
        <v>2018</v>
      </c>
      <c r="F445" s="95">
        <f t="shared" si="39"/>
        <v>13</v>
      </c>
      <c r="G445" s="14"/>
      <c r="H445" s="14"/>
      <c r="I445" s="14">
        <v>13</v>
      </c>
      <c r="J445" s="14"/>
      <c r="K445" s="151"/>
      <c r="L445" s="124" t="s">
        <v>274</v>
      </c>
    </row>
    <row r="446" spans="1:12" x14ac:dyDescent="0.2">
      <c r="A446" s="420"/>
      <c r="B446" s="203"/>
      <c r="C446" s="167"/>
      <c r="D446" s="167"/>
      <c r="E446" s="141">
        <v>2019</v>
      </c>
      <c r="F446" s="95">
        <f t="shared" si="39"/>
        <v>14</v>
      </c>
      <c r="G446" s="14"/>
      <c r="H446" s="14"/>
      <c r="I446" s="14">
        <v>14</v>
      </c>
      <c r="J446" s="14"/>
      <c r="K446" s="151"/>
      <c r="L446" s="124" t="s">
        <v>274</v>
      </c>
    </row>
    <row r="447" spans="1:12" x14ac:dyDescent="0.2">
      <c r="A447" s="420"/>
      <c r="B447" s="203"/>
      <c r="C447" s="167"/>
      <c r="D447" s="167"/>
      <c r="E447" s="141">
        <v>2020</v>
      </c>
      <c r="F447" s="95">
        <f t="shared" si="39"/>
        <v>15</v>
      </c>
      <c r="G447" s="14"/>
      <c r="H447" s="14"/>
      <c r="I447" s="14">
        <v>15</v>
      </c>
      <c r="J447" s="14"/>
      <c r="K447" s="151"/>
    </row>
    <row r="448" spans="1:12" ht="18" customHeight="1" thickBot="1" x14ac:dyDescent="0.25">
      <c r="A448" s="421"/>
      <c r="B448" s="182"/>
      <c r="C448" s="167"/>
      <c r="D448" s="167"/>
      <c r="E448" s="32" t="s">
        <v>18</v>
      </c>
      <c r="F448" s="17">
        <f>SUM(F442:F447)</f>
        <v>68.400000000000006</v>
      </c>
      <c r="G448" s="51"/>
      <c r="H448" s="51"/>
      <c r="I448" s="51">
        <f>SUM(I442:I447)</f>
        <v>68.400000000000006</v>
      </c>
      <c r="J448" s="28"/>
      <c r="K448" s="151"/>
    </row>
    <row r="449" spans="1:12" ht="26.25" thickBot="1" x14ac:dyDescent="0.25">
      <c r="A449" s="339" t="s">
        <v>199</v>
      </c>
      <c r="B449" s="340"/>
      <c r="C449" s="340"/>
      <c r="D449" s="340"/>
      <c r="E449" s="117" t="s">
        <v>61</v>
      </c>
      <c r="F449" s="118">
        <f>F433+F448+F440</f>
        <v>338.9</v>
      </c>
      <c r="G449" s="118">
        <f>G433+G448+G440</f>
        <v>0</v>
      </c>
      <c r="H449" s="118">
        <f>H433+H448+H440</f>
        <v>0</v>
      </c>
      <c r="I449" s="118">
        <f>I433+I448+I440</f>
        <v>338.9</v>
      </c>
      <c r="J449" s="119"/>
      <c r="K449" s="120"/>
    </row>
    <row r="450" spans="1:12" ht="15" thickBot="1" x14ac:dyDescent="0.25">
      <c r="A450" s="187" t="s">
        <v>200</v>
      </c>
      <c r="B450" s="341"/>
      <c r="C450" s="341"/>
      <c r="D450" s="341"/>
      <c r="E450" s="341"/>
      <c r="F450" s="341"/>
      <c r="G450" s="341"/>
      <c r="H450" s="341"/>
      <c r="I450" s="341"/>
      <c r="J450" s="341"/>
      <c r="K450" s="342"/>
    </row>
    <row r="451" spans="1:12" ht="14.25" x14ac:dyDescent="0.2">
      <c r="A451" s="344" t="s">
        <v>77</v>
      </c>
      <c r="B451" s="345"/>
      <c r="C451" s="345"/>
      <c r="D451" s="345"/>
      <c r="E451" s="346"/>
      <c r="F451" s="346"/>
      <c r="G451" s="346"/>
      <c r="H451" s="346"/>
      <c r="I451" s="346"/>
      <c r="J451" s="346"/>
      <c r="K451" s="347"/>
    </row>
    <row r="452" spans="1:12" x14ac:dyDescent="0.2">
      <c r="A452" s="422" t="s">
        <v>78</v>
      </c>
      <c r="B452" s="165" t="s">
        <v>79</v>
      </c>
      <c r="C452" s="194" t="s">
        <v>69</v>
      </c>
      <c r="D452" s="154" t="s">
        <v>222</v>
      </c>
      <c r="E452" s="141">
        <v>2015</v>
      </c>
      <c r="F452" s="95">
        <f t="shared" ref="F452:F457" si="40">SUM(G452:I452)</f>
        <v>50</v>
      </c>
      <c r="G452" s="14"/>
      <c r="H452" s="14"/>
      <c r="I452" s="14">
        <v>50</v>
      </c>
      <c r="J452" s="14"/>
      <c r="K452" s="154" t="s">
        <v>172</v>
      </c>
    </row>
    <row r="453" spans="1:12" x14ac:dyDescent="0.2">
      <c r="A453" s="423"/>
      <c r="B453" s="186"/>
      <c r="C453" s="167"/>
      <c r="D453" s="167"/>
      <c r="E453" s="141">
        <v>2016</v>
      </c>
      <c r="F453" s="95">
        <f t="shared" si="40"/>
        <v>83</v>
      </c>
      <c r="G453" s="14"/>
      <c r="H453" s="14"/>
      <c r="I453" s="14">
        <f>60+23</f>
        <v>83</v>
      </c>
      <c r="J453" s="14"/>
      <c r="K453" s="151"/>
      <c r="L453" s="124" t="s">
        <v>295</v>
      </c>
    </row>
    <row r="454" spans="1:12" x14ac:dyDescent="0.2">
      <c r="A454" s="423"/>
      <c r="B454" s="186"/>
      <c r="C454" s="167"/>
      <c r="D454" s="167"/>
      <c r="E454" s="141">
        <v>2017</v>
      </c>
      <c r="F454" s="95">
        <f t="shared" si="40"/>
        <v>70</v>
      </c>
      <c r="G454" s="14"/>
      <c r="H454" s="14"/>
      <c r="I454" s="14">
        <v>70</v>
      </c>
      <c r="J454" s="14"/>
      <c r="K454" s="151"/>
      <c r="L454" s="124" t="s">
        <v>274</v>
      </c>
    </row>
    <row r="455" spans="1:12" x14ac:dyDescent="0.2">
      <c r="A455" s="423"/>
      <c r="B455" s="186"/>
      <c r="C455" s="167"/>
      <c r="D455" s="167"/>
      <c r="E455" s="141">
        <v>2018</v>
      </c>
      <c r="F455" s="95">
        <f t="shared" si="40"/>
        <v>80</v>
      </c>
      <c r="G455" s="14"/>
      <c r="H455" s="14"/>
      <c r="I455" s="14">
        <v>80</v>
      </c>
      <c r="J455" s="14"/>
      <c r="K455" s="151"/>
      <c r="L455" s="124" t="s">
        <v>274</v>
      </c>
    </row>
    <row r="456" spans="1:12" x14ac:dyDescent="0.2">
      <c r="A456" s="423"/>
      <c r="B456" s="186"/>
      <c r="C456" s="167"/>
      <c r="D456" s="167"/>
      <c r="E456" s="141">
        <v>2019</v>
      </c>
      <c r="F456" s="95">
        <f t="shared" si="40"/>
        <v>90</v>
      </c>
      <c r="G456" s="14"/>
      <c r="H456" s="14"/>
      <c r="I456" s="14">
        <v>90</v>
      </c>
      <c r="J456" s="14"/>
      <c r="K456" s="151"/>
      <c r="L456" s="124" t="s">
        <v>274</v>
      </c>
    </row>
    <row r="457" spans="1:12" x14ac:dyDescent="0.2">
      <c r="A457" s="423"/>
      <c r="B457" s="186"/>
      <c r="C457" s="167"/>
      <c r="D457" s="167"/>
      <c r="E457" s="141">
        <v>2020</v>
      </c>
      <c r="F457" s="95">
        <f t="shared" si="40"/>
        <v>100</v>
      </c>
      <c r="G457" s="14"/>
      <c r="H457" s="14"/>
      <c r="I457" s="14">
        <v>100</v>
      </c>
      <c r="J457" s="14"/>
      <c r="K457" s="151"/>
    </row>
    <row r="458" spans="1:12" ht="13.5" thickBot="1" x14ac:dyDescent="0.25">
      <c r="A458" s="423"/>
      <c r="B458" s="193"/>
      <c r="C458" s="168"/>
      <c r="D458" s="180"/>
      <c r="E458" s="32" t="s">
        <v>18</v>
      </c>
      <c r="F458" s="20">
        <f>SUM(F452:F457)</f>
        <v>473</v>
      </c>
      <c r="G458" s="13"/>
      <c r="H458" s="13"/>
      <c r="I458" s="13">
        <f>SUM(I452:I457)</f>
        <v>473</v>
      </c>
      <c r="J458" s="14"/>
      <c r="K458" s="151"/>
    </row>
    <row r="459" spans="1:12" x14ac:dyDescent="0.2">
      <c r="A459" s="422" t="s">
        <v>80</v>
      </c>
      <c r="B459" s="165" t="s">
        <v>81</v>
      </c>
      <c r="C459" s="194" t="s">
        <v>69</v>
      </c>
      <c r="D459" s="154" t="s">
        <v>222</v>
      </c>
      <c r="E459" s="141">
        <v>2015</v>
      </c>
      <c r="F459" s="79">
        <f t="shared" ref="F459:F464" si="41">SUM(G459:I459)</f>
        <v>150</v>
      </c>
      <c r="G459" s="14"/>
      <c r="H459" s="14"/>
      <c r="I459" s="14">
        <v>150</v>
      </c>
      <c r="J459" s="14"/>
      <c r="K459" s="151"/>
    </row>
    <row r="460" spans="1:12" x14ac:dyDescent="0.2">
      <c r="A460" s="423"/>
      <c r="B460" s="165"/>
      <c r="C460" s="167"/>
      <c r="D460" s="167"/>
      <c r="E460" s="141">
        <v>2016</v>
      </c>
      <c r="F460" s="79">
        <f t="shared" si="41"/>
        <v>180</v>
      </c>
      <c r="G460" s="14"/>
      <c r="H460" s="14"/>
      <c r="I460" s="14">
        <v>180</v>
      </c>
      <c r="J460" s="14"/>
      <c r="K460" s="151"/>
    </row>
    <row r="461" spans="1:12" x14ac:dyDescent="0.2">
      <c r="A461" s="423"/>
      <c r="B461" s="165"/>
      <c r="C461" s="167"/>
      <c r="D461" s="167"/>
      <c r="E461" s="141">
        <v>2017</v>
      </c>
      <c r="F461" s="79">
        <f t="shared" si="41"/>
        <v>0</v>
      </c>
      <c r="G461" s="14"/>
      <c r="H461" s="14"/>
      <c r="I461" s="14">
        <v>0</v>
      </c>
      <c r="J461" s="14"/>
      <c r="K461" s="151"/>
      <c r="L461" s="124" t="s">
        <v>256</v>
      </c>
    </row>
    <row r="462" spans="1:12" x14ac:dyDescent="0.2">
      <c r="A462" s="423"/>
      <c r="B462" s="165"/>
      <c r="C462" s="167"/>
      <c r="D462" s="167"/>
      <c r="E462" s="141">
        <v>2018</v>
      </c>
      <c r="F462" s="79">
        <f t="shared" si="41"/>
        <v>240</v>
      </c>
      <c r="G462" s="14"/>
      <c r="H462" s="14"/>
      <c r="I462" s="14">
        <v>240</v>
      </c>
      <c r="J462" s="14"/>
      <c r="K462" s="151"/>
      <c r="L462" s="124" t="s">
        <v>274</v>
      </c>
    </row>
    <row r="463" spans="1:12" x14ac:dyDescent="0.2">
      <c r="A463" s="423"/>
      <c r="B463" s="165"/>
      <c r="C463" s="167"/>
      <c r="D463" s="167"/>
      <c r="E463" s="141">
        <v>2019</v>
      </c>
      <c r="F463" s="79">
        <f t="shared" si="41"/>
        <v>260</v>
      </c>
      <c r="G463" s="14"/>
      <c r="H463" s="14"/>
      <c r="I463" s="14">
        <v>260</v>
      </c>
      <c r="J463" s="14"/>
      <c r="K463" s="151"/>
      <c r="L463" s="124" t="s">
        <v>274</v>
      </c>
    </row>
    <row r="464" spans="1:12" x14ac:dyDescent="0.2">
      <c r="A464" s="423"/>
      <c r="B464" s="165"/>
      <c r="C464" s="167"/>
      <c r="D464" s="167"/>
      <c r="E464" s="141">
        <v>2020</v>
      </c>
      <c r="F464" s="79">
        <f t="shared" si="41"/>
        <v>270</v>
      </c>
      <c r="G464" s="14"/>
      <c r="H464" s="14"/>
      <c r="I464" s="14">
        <v>270</v>
      </c>
      <c r="J464" s="14"/>
      <c r="K464" s="151"/>
    </row>
    <row r="465" spans="1:12" ht="32.25" customHeight="1" thickBot="1" x14ac:dyDescent="0.25">
      <c r="A465" s="423"/>
      <c r="B465" s="193"/>
      <c r="C465" s="168"/>
      <c r="D465" s="180"/>
      <c r="E465" s="24" t="s">
        <v>18</v>
      </c>
      <c r="F465" s="100">
        <f>SUM(F459:F464)</f>
        <v>1100</v>
      </c>
      <c r="G465" s="13"/>
      <c r="H465" s="13"/>
      <c r="I465" s="13">
        <f>SUM(I459:I464)</f>
        <v>1100</v>
      </c>
      <c r="J465" s="14"/>
      <c r="K465" s="151"/>
    </row>
    <row r="466" spans="1:12" x14ac:dyDescent="0.2">
      <c r="A466" s="422" t="s">
        <v>82</v>
      </c>
      <c r="B466" s="165" t="s">
        <v>171</v>
      </c>
      <c r="C466" s="194" t="s">
        <v>69</v>
      </c>
      <c r="D466" s="154" t="s">
        <v>222</v>
      </c>
      <c r="E466" s="141">
        <v>2015</v>
      </c>
      <c r="F466" s="79">
        <f t="shared" ref="F466:F471" si="42">SUM(G466:I466)</f>
        <v>55</v>
      </c>
      <c r="G466" s="14"/>
      <c r="H466" s="14"/>
      <c r="I466" s="14">
        <v>55</v>
      </c>
      <c r="J466" s="14"/>
      <c r="K466" s="151"/>
    </row>
    <row r="467" spans="1:12" x14ac:dyDescent="0.2">
      <c r="A467" s="423"/>
      <c r="B467" s="165"/>
      <c r="C467" s="167"/>
      <c r="D467" s="167"/>
      <c r="E467" s="141">
        <v>2016</v>
      </c>
      <c r="F467" s="79">
        <f t="shared" si="42"/>
        <v>57.4</v>
      </c>
      <c r="G467" s="14"/>
      <c r="H467" s="14"/>
      <c r="I467" s="14">
        <f>60-2.6</f>
        <v>57.4</v>
      </c>
      <c r="J467" s="14"/>
      <c r="K467" s="151"/>
    </row>
    <row r="468" spans="1:12" x14ac:dyDescent="0.2">
      <c r="A468" s="423"/>
      <c r="B468" s="165"/>
      <c r="C468" s="167"/>
      <c r="D468" s="167"/>
      <c r="E468" s="141">
        <v>2017</v>
      </c>
      <c r="F468" s="79">
        <f t="shared" si="42"/>
        <v>65</v>
      </c>
      <c r="G468" s="14"/>
      <c r="H468" s="14"/>
      <c r="I468" s="14">
        <v>65</v>
      </c>
      <c r="J468" s="14"/>
      <c r="K468" s="151"/>
      <c r="L468" s="124" t="s">
        <v>274</v>
      </c>
    </row>
    <row r="469" spans="1:12" x14ac:dyDescent="0.2">
      <c r="A469" s="423"/>
      <c r="B469" s="165"/>
      <c r="C469" s="167"/>
      <c r="D469" s="167"/>
      <c r="E469" s="141">
        <v>2018</v>
      </c>
      <c r="F469" s="79">
        <f t="shared" si="42"/>
        <v>70</v>
      </c>
      <c r="G469" s="14"/>
      <c r="H469" s="14"/>
      <c r="I469" s="14">
        <v>70</v>
      </c>
      <c r="J469" s="14"/>
      <c r="K469" s="151"/>
      <c r="L469" s="124" t="s">
        <v>274</v>
      </c>
    </row>
    <row r="470" spans="1:12" x14ac:dyDescent="0.2">
      <c r="A470" s="423"/>
      <c r="B470" s="165"/>
      <c r="C470" s="167"/>
      <c r="D470" s="167"/>
      <c r="E470" s="141">
        <v>2019</v>
      </c>
      <c r="F470" s="79">
        <f t="shared" si="42"/>
        <v>75</v>
      </c>
      <c r="G470" s="14"/>
      <c r="H470" s="14"/>
      <c r="I470" s="14">
        <v>75</v>
      </c>
      <c r="J470" s="14"/>
      <c r="K470" s="151"/>
      <c r="L470" s="124" t="s">
        <v>274</v>
      </c>
    </row>
    <row r="471" spans="1:12" x14ac:dyDescent="0.2">
      <c r="A471" s="423"/>
      <c r="B471" s="165"/>
      <c r="C471" s="167"/>
      <c r="D471" s="167"/>
      <c r="E471" s="141">
        <v>2020</v>
      </c>
      <c r="F471" s="79">
        <f t="shared" si="42"/>
        <v>80</v>
      </c>
      <c r="G471" s="14"/>
      <c r="H471" s="14"/>
      <c r="I471" s="14">
        <v>80</v>
      </c>
      <c r="J471" s="14"/>
      <c r="K471" s="151"/>
    </row>
    <row r="472" spans="1:12" ht="13.5" thickBot="1" x14ac:dyDescent="0.25">
      <c r="A472" s="423"/>
      <c r="B472" s="208"/>
      <c r="C472" s="168"/>
      <c r="D472" s="180"/>
      <c r="E472" s="24" t="s">
        <v>18</v>
      </c>
      <c r="F472" s="21">
        <f>SUM(F466:F471)</f>
        <v>402.4</v>
      </c>
      <c r="G472" s="13"/>
      <c r="H472" s="13"/>
      <c r="I472" s="13">
        <f>SUM(I466:I471)</f>
        <v>402.4</v>
      </c>
      <c r="J472" s="14"/>
      <c r="K472" s="155"/>
    </row>
    <row r="473" spans="1:12" x14ac:dyDescent="0.2">
      <c r="A473" s="422" t="s">
        <v>83</v>
      </c>
      <c r="B473" s="165" t="s">
        <v>84</v>
      </c>
      <c r="C473" s="194" t="s">
        <v>69</v>
      </c>
      <c r="D473" s="154" t="s">
        <v>222</v>
      </c>
      <c r="E473" s="141">
        <v>2015</v>
      </c>
      <c r="F473" s="79">
        <f t="shared" ref="F473:F478" si="43">SUM(G473:I473)</f>
        <v>50</v>
      </c>
      <c r="G473" s="14"/>
      <c r="H473" s="14"/>
      <c r="I473" s="14">
        <v>50</v>
      </c>
      <c r="J473" s="14"/>
      <c r="K473" s="154" t="s">
        <v>173</v>
      </c>
    </row>
    <row r="474" spans="1:12" x14ac:dyDescent="0.2">
      <c r="A474" s="423"/>
      <c r="B474" s="186"/>
      <c r="C474" s="167"/>
      <c r="D474" s="167"/>
      <c r="E474" s="141">
        <v>2016</v>
      </c>
      <c r="F474" s="79">
        <f t="shared" si="43"/>
        <v>32</v>
      </c>
      <c r="G474" s="14"/>
      <c r="H474" s="14"/>
      <c r="I474" s="14">
        <f>55-23</f>
        <v>32</v>
      </c>
      <c r="J474" s="14"/>
      <c r="K474" s="151"/>
      <c r="L474" s="124" t="s">
        <v>296</v>
      </c>
    </row>
    <row r="475" spans="1:12" x14ac:dyDescent="0.2">
      <c r="A475" s="423"/>
      <c r="B475" s="186"/>
      <c r="C475" s="167"/>
      <c r="D475" s="167"/>
      <c r="E475" s="141">
        <v>2017</v>
      </c>
      <c r="F475" s="79">
        <f t="shared" si="43"/>
        <v>41.4</v>
      </c>
      <c r="G475" s="14"/>
      <c r="H475" s="14"/>
      <c r="I475" s="14">
        <f>60-18.6</f>
        <v>41.4</v>
      </c>
      <c r="J475" s="14"/>
      <c r="K475" s="151"/>
      <c r="L475" s="124" t="s">
        <v>256</v>
      </c>
    </row>
    <row r="476" spans="1:12" x14ac:dyDescent="0.2">
      <c r="A476" s="423"/>
      <c r="B476" s="186"/>
      <c r="C476" s="167"/>
      <c r="D476" s="167"/>
      <c r="E476" s="141">
        <v>2018</v>
      </c>
      <c r="F476" s="79">
        <f t="shared" si="43"/>
        <v>65</v>
      </c>
      <c r="G476" s="14"/>
      <c r="H476" s="14"/>
      <c r="I476" s="14">
        <v>65</v>
      </c>
      <c r="J476" s="14"/>
      <c r="K476" s="151"/>
      <c r="L476" s="124" t="s">
        <v>274</v>
      </c>
    </row>
    <row r="477" spans="1:12" x14ac:dyDescent="0.2">
      <c r="A477" s="423"/>
      <c r="B477" s="186"/>
      <c r="C477" s="167"/>
      <c r="D477" s="167"/>
      <c r="E477" s="141">
        <v>2019</v>
      </c>
      <c r="F477" s="79">
        <f t="shared" si="43"/>
        <v>70</v>
      </c>
      <c r="G477" s="14"/>
      <c r="H477" s="14"/>
      <c r="I477" s="14">
        <v>70</v>
      </c>
      <c r="J477" s="14"/>
      <c r="K477" s="151"/>
      <c r="L477" s="124" t="s">
        <v>274</v>
      </c>
    </row>
    <row r="478" spans="1:12" x14ac:dyDescent="0.2">
      <c r="A478" s="423"/>
      <c r="B478" s="186"/>
      <c r="C478" s="167"/>
      <c r="D478" s="167"/>
      <c r="E478" s="141">
        <v>2020</v>
      </c>
      <c r="F478" s="79">
        <f t="shared" si="43"/>
        <v>75</v>
      </c>
      <c r="G478" s="14"/>
      <c r="H478" s="14"/>
      <c r="I478" s="14">
        <v>75</v>
      </c>
      <c r="J478" s="14"/>
      <c r="K478" s="151"/>
    </row>
    <row r="479" spans="1:12" ht="13.5" thickBot="1" x14ac:dyDescent="0.25">
      <c r="A479" s="423"/>
      <c r="B479" s="186"/>
      <c r="C479" s="168"/>
      <c r="D479" s="180"/>
      <c r="E479" s="24" t="s">
        <v>18</v>
      </c>
      <c r="F479" s="21">
        <f>SUM(F473:F478)</f>
        <v>333.4</v>
      </c>
      <c r="G479" s="14"/>
      <c r="H479" s="14"/>
      <c r="I479" s="13">
        <f>SUM(I473:I478)</f>
        <v>333.4</v>
      </c>
      <c r="J479" s="14"/>
      <c r="K479" s="155"/>
    </row>
    <row r="480" spans="1:12" ht="16.5" customHeight="1" thickBot="1" x14ac:dyDescent="0.25">
      <c r="A480" s="181" t="s">
        <v>201</v>
      </c>
      <c r="B480" s="182"/>
      <c r="C480" s="182"/>
      <c r="D480" s="182"/>
      <c r="E480" s="6" t="s">
        <v>61</v>
      </c>
      <c r="F480" s="17">
        <f>F458+F465+F472+F479</f>
        <v>2308.8000000000002</v>
      </c>
      <c r="G480" s="17">
        <f>G458+G465+G472+G479</f>
        <v>0</v>
      </c>
      <c r="H480" s="17">
        <f>H458+H465+H472+H479</f>
        <v>0</v>
      </c>
      <c r="I480" s="17">
        <f>I458+I465+I472+I479</f>
        <v>2308.8000000000002</v>
      </c>
      <c r="J480" s="19"/>
      <c r="K480" s="6"/>
    </row>
    <row r="481" spans="1:35" ht="15" thickBot="1" x14ac:dyDescent="0.25">
      <c r="A481" s="187" t="s">
        <v>202</v>
      </c>
      <c r="B481" s="341"/>
      <c r="C481" s="341"/>
      <c r="D481" s="341"/>
      <c r="E481" s="341"/>
      <c r="F481" s="341"/>
      <c r="G481" s="341"/>
      <c r="H481" s="341"/>
      <c r="I481" s="341"/>
      <c r="J481" s="341"/>
      <c r="K481" s="342"/>
    </row>
    <row r="482" spans="1:35" ht="14.25" x14ac:dyDescent="0.2">
      <c r="A482" s="344" t="s">
        <v>85</v>
      </c>
      <c r="B482" s="345"/>
      <c r="C482" s="345"/>
      <c r="D482" s="345"/>
      <c r="E482" s="346"/>
      <c r="F482" s="346"/>
      <c r="G482" s="346"/>
      <c r="H482" s="346"/>
      <c r="I482" s="346"/>
      <c r="J482" s="346"/>
      <c r="K482" s="347"/>
    </row>
    <row r="483" spans="1:35" ht="12.75" customHeight="1" x14ac:dyDescent="0.2">
      <c r="A483" s="350" t="s">
        <v>101</v>
      </c>
      <c r="B483" s="171" t="s">
        <v>86</v>
      </c>
      <c r="C483" s="194" t="s">
        <v>69</v>
      </c>
      <c r="D483" s="154" t="s">
        <v>222</v>
      </c>
      <c r="E483" s="141">
        <v>2015</v>
      </c>
      <c r="F483" s="79">
        <f t="shared" ref="F483:F488" si="44">SUM(G483:I483)</f>
        <v>3623.3</v>
      </c>
      <c r="G483" s="14"/>
      <c r="H483" s="14">
        <f>3817-230</f>
        <v>3587</v>
      </c>
      <c r="I483" s="14">
        <f>38.6-2.3</f>
        <v>36.300000000000004</v>
      </c>
      <c r="J483" s="14"/>
      <c r="K483" s="154" t="s">
        <v>174</v>
      </c>
    </row>
    <row r="484" spans="1:35" x14ac:dyDescent="0.2">
      <c r="A484" s="351"/>
      <c r="B484" s="226"/>
      <c r="C484" s="167"/>
      <c r="D484" s="167"/>
      <c r="E484" s="141">
        <v>2016</v>
      </c>
      <c r="F484" s="79">
        <f t="shared" si="44"/>
        <v>27.8</v>
      </c>
      <c r="G484" s="14"/>
      <c r="H484" s="14">
        <v>0</v>
      </c>
      <c r="I484" s="14">
        <v>27.8</v>
      </c>
      <c r="J484" s="14"/>
      <c r="K484" s="151"/>
    </row>
    <row r="485" spans="1:35" x14ac:dyDescent="0.2">
      <c r="A485" s="351"/>
      <c r="B485" s="226"/>
      <c r="C485" s="167"/>
      <c r="D485" s="167"/>
      <c r="E485" s="141">
        <v>2017</v>
      </c>
      <c r="F485" s="79">
        <f t="shared" si="44"/>
        <v>0</v>
      </c>
      <c r="G485" s="14"/>
      <c r="H485" s="14">
        <f>2740-2740</f>
        <v>0</v>
      </c>
      <c r="I485" s="14">
        <f>27.6-27.6</f>
        <v>0</v>
      </c>
      <c r="J485" s="14"/>
      <c r="K485" s="151"/>
      <c r="L485" s="124" t="s">
        <v>271</v>
      </c>
    </row>
    <row r="486" spans="1:35" x14ac:dyDescent="0.2">
      <c r="A486" s="351"/>
      <c r="B486" s="226"/>
      <c r="C486" s="167"/>
      <c r="D486" s="167"/>
      <c r="E486" s="141">
        <v>2018</v>
      </c>
      <c r="F486" s="79">
        <f t="shared" si="44"/>
        <v>16.2</v>
      </c>
      <c r="G486" s="14"/>
      <c r="H486" s="14">
        <f>1605-1605</f>
        <v>0</v>
      </c>
      <c r="I486" s="14">
        <v>16.2</v>
      </c>
      <c r="J486" s="14"/>
      <c r="K486" s="151"/>
      <c r="L486" s="124" t="s">
        <v>275</v>
      </c>
    </row>
    <row r="487" spans="1:35" x14ac:dyDescent="0.2">
      <c r="A487" s="351"/>
      <c r="B487" s="226"/>
      <c r="C487" s="167"/>
      <c r="D487" s="167"/>
      <c r="E487" s="141">
        <v>2019</v>
      </c>
      <c r="F487" s="79">
        <f t="shared" si="44"/>
        <v>14.8</v>
      </c>
      <c r="G487" s="14"/>
      <c r="H487" s="14">
        <f>1469-1469</f>
        <v>0</v>
      </c>
      <c r="I487" s="14">
        <v>14.8</v>
      </c>
      <c r="J487" s="14"/>
      <c r="K487" s="151"/>
      <c r="L487" s="124" t="s">
        <v>275</v>
      </c>
    </row>
    <row r="488" spans="1:35" x14ac:dyDescent="0.2">
      <c r="A488" s="351"/>
      <c r="B488" s="226"/>
      <c r="C488" s="167"/>
      <c r="D488" s="167"/>
      <c r="E488" s="141">
        <v>2020</v>
      </c>
      <c r="F488" s="79">
        <f t="shared" si="44"/>
        <v>1613.1</v>
      </c>
      <c r="G488" s="14"/>
      <c r="H488" s="14">
        <v>1597</v>
      </c>
      <c r="I488" s="14">
        <v>16.100000000000001</v>
      </c>
      <c r="J488" s="14"/>
      <c r="K488" s="151"/>
    </row>
    <row r="489" spans="1:35" ht="13.5" thickBot="1" x14ac:dyDescent="0.25">
      <c r="A489" s="352"/>
      <c r="B489" s="226"/>
      <c r="C489" s="168"/>
      <c r="D489" s="180"/>
      <c r="E489" s="24" t="s">
        <v>18</v>
      </c>
      <c r="F489" s="21">
        <f>SUM(F483:F488)</f>
        <v>5295.2000000000007</v>
      </c>
      <c r="G489" s="13"/>
      <c r="H489" s="13">
        <f>SUM(H483:H488)</f>
        <v>5184</v>
      </c>
      <c r="I489" s="13">
        <f>SUM(I483:I488)</f>
        <v>111.20000000000002</v>
      </c>
      <c r="J489" s="14"/>
      <c r="K489" s="155"/>
    </row>
    <row r="490" spans="1:35" ht="26.25" thickBot="1" x14ac:dyDescent="0.25">
      <c r="A490" s="181" t="s">
        <v>203</v>
      </c>
      <c r="B490" s="182"/>
      <c r="C490" s="182"/>
      <c r="D490" s="182"/>
      <c r="E490" s="6" t="s">
        <v>61</v>
      </c>
      <c r="F490" s="21">
        <f>SUM(F483:F488)</f>
        <v>5295.2000000000007</v>
      </c>
      <c r="G490" s="19"/>
      <c r="H490" s="13">
        <f>SUM(H483:H488)</f>
        <v>5184</v>
      </c>
      <c r="I490" s="13">
        <f>SUM(I483:I488)</f>
        <v>111.20000000000002</v>
      </c>
      <c r="J490" s="19"/>
      <c r="K490" s="6"/>
    </row>
    <row r="491" spans="1:35" ht="47.25" x14ac:dyDescent="0.25">
      <c r="A491" s="273" t="s">
        <v>205</v>
      </c>
      <c r="B491" s="348"/>
      <c r="C491" s="348"/>
      <c r="D491" s="349"/>
      <c r="E491" s="99" t="s">
        <v>61</v>
      </c>
      <c r="F491" s="99" t="s">
        <v>18</v>
      </c>
      <c r="G491" s="101" t="s">
        <v>10</v>
      </c>
      <c r="H491" s="102" t="s">
        <v>11</v>
      </c>
      <c r="I491" s="102" t="s">
        <v>12</v>
      </c>
      <c r="J491" s="102" t="s">
        <v>13</v>
      </c>
      <c r="K491" s="58"/>
      <c r="L491" s="75"/>
      <c r="M491" s="75"/>
      <c r="N491" s="75"/>
    </row>
    <row r="492" spans="1:35" ht="15.75" x14ac:dyDescent="0.25">
      <c r="A492" s="142"/>
      <c r="B492" s="143"/>
      <c r="C492" s="143"/>
      <c r="D492" s="144"/>
      <c r="E492" s="105"/>
      <c r="F492" s="23">
        <f>SUM(G492:J492)</f>
        <v>317623.3</v>
      </c>
      <c r="G492" s="23"/>
      <c r="H492" s="11">
        <f>H490+H480+H449+H424+H377</f>
        <v>5414</v>
      </c>
      <c r="I492" s="11">
        <f>I490+I480+I449+I424</f>
        <v>308994.3</v>
      </c>
      <c r="J492" s="11">
        <f>J490+J480+J449+J424</f>
        <v>3215</v>
      </c>
      <c r="K492" s="58"/>
      <c r="L492" s="42"/>
      <c r="M492" s="42"/>
      <c r="N492" s="42"/>
    </row>
    <row r="493" spans="1:35" ht="18.75" customHeight="1" thickBot="1" x14ac:dyDescent="0.25">
      <c r="A493" s="388" t="s">
        <v>206</v>
      </c>
      <c r="B493" s="389"/>
      <c r="C493" s="389"/>
      <c r="D493" s="389"/>
      <c r="E493" s="389"/>
      <c r="F493" s="389"/>
      <c r="G493" s="389"/>
      <c r="H493" s="389"/>
      <c r="I493" s="389"/>
      <c r="J493" s="389"/>
      <c r="K493" s="390"/>
      <c r="L493" s="76"/>
      <c r="M493" s="76"/>
      <c r="N493" s="76"/>
    </row>
    <row r="494" spans="1:35" ht="30" customHeight="1" x14ac:dyDescent="0.2">
      <c r="A494" s="243" t="s">
        <v>207</v>
      </c>
      <c r="B494" s="193"/>
      <c r="C494" s="193"/>
      <c r="D494" s="193"/>
      <c r="E494" s="186"/>
      <c r="F494" s="186"/>
      <c r="G494" s="186"/>
      <c r="H494" s="186"/>
      <c r="I494" s="186"/>
      <c r="J494" s="186"/>
      <c r="K494" s="186"/>
      <c r="L494" s="77"/>
      <c r="M494" s="77"/>
      <c r="N494" s="77"/>
      <c r="O494" s="77"/>
      <c r="P494" s="77"/>
      <c r="Q494" s="77"/>
      <c r="R494" s="77"/>
      <c r="S494" s="77"/>
      <c r="T494" s="77"/>
      <c r="U494" s="77"/>
      <c r="V494" s="77"/>
      <c r="W494" s="77"/>
      <c r="X494" s="77"/>
      <c r="Y494" s="77"/>
      <c r="Z494" s="77"/>
      <c r="AA494" s="77"/>
      <c r="AB494" s="77"/>
      <c r="AC494" s="77"/>
      <c r="AD494" s="77"/>
      <c r="AE494" s="77"/>
      <c r="AF494" s="77"/>
      <c r="AG494" s="77"/>
      <c r="AH494" s="77"/>
      <c r="AI494" s="78"/>
    </row>
    <row r="495" spans="1:35" x14ac:dyDescent="0.2">
      <c r="A495" s="334" t="s">
        <v>105</v>
      </c>
      <c r="B495" s="353" t="s">
        <v>87</v>
      </c>
      <c r="C495" s="194" t="s">
        <v>69</v>
      </c>
      <c r="D495" s="154" t="s">
        <v>222</v>
      </c>
      <c r="E495" s="141">
        <v>2015</v>
      </c>
      <c r="F495" s="79">
        <f t="shared" ref="F495:F500" si="45">SUM(G495:J495)</f>
        <v>1923.3999999999999</v>
      </c>
      <c r="G495" s="14"/>
      <c r="H495" s="14">
        <f>2020.6-97.2</f>
        <v>1923.3999999999999</v>
      </c>
      <c r="I495" s="14"/>
      <c r="J495" s="14"/>
      <c r="K495" s="154" t="s">
        <v>175</v>
      </c>
    </row>
    <row r="496" spans="1:35" x14ac:dyDescent="0.2">
      <c r="A496" s="335"/>
      <c r="B496" s="310"/>
      <c r="C496" s="167"/>
      <c r="D496" s="167"/>
      <c r="E496" s="141">
        <v>2016</v>
      </c>
      <c r="F496" s="79">
        <f t="shared" si="45"/>
        <v>2072.6</v>
      </c>
      <c r="G496" s="14"/>
      <c r="H496" s="14">
        <f>2072.6</f>
        <v>2072.6</v>
      </c>
      <c r="I496" s="14"/>
      <c r="J496" s="14"/>
      <c r="K496" s="151"/>
      <c r="L496" s="124" t="s">
        <v>268</v>
      </c>
    </row>
    <row r="497" spans="1:13" x14ac:dyDescent="0.2">
      <c r="A497" s="335"/>
      <c r="B497" s="310"/>
      <c r="C497" s="167"/>
      <c r="D497" s="167"/>
      <c r="E497" s="141">
        <v>2017</v>
      </c>
      <c r="F497" s="79">
        <f t="shared" si="45"/>
        <v>1919.6999999999998</v>
      </c>
      <c r="G497" s="14"/>
      <c r="H497" s="14">
        <f>2206.6-286.9</f>
        <v>1919.6999999999998</v>
      </c>
      <c r="I497" s="14"/>
      <c r="J497" s="14"/>
      <c r="K497" s="151"/>
      <c r="L497" s="124" t="s">
        <v>256</v>
      </c>
      <c r="M497" s="131"/>
    </row>
    <row r="498" spans="1:13" x14ac:dyDescent="0.2">
      <c r="A498" s="335"/>
      <c r="B498" s="310"/>
      <c r="C498" s="167"/>
      <c r="D498" s="167"/>
      <c r="E498" s="141">
        <v>2018</v>
      </c>
      <c r="F498" s="79">
        <f t="shared" si="45"/>
        <v>1996.4</v>
      </c>
      <c r="G498" s="14"/>
      <c r="H498" s="14">
        <f>2121.8-125.4</f>
        <v>1996.4</v>
      </c>
      <c r="I498" s="14"/>
      <c r="J498" s="14"/>
      <c r="K498" s="151"/>
      <c r="L498" s="124" t="s">
        <v>256</v>
      </c>
      <c r="M498" s="131"/>
    </row>
    <row r="499" spans="1:13" x14ac:dyDescent="0.2">
      <c r="A499" s="335"/>
      <c r="B499" s="310"/>
      <c r="C499" s="167"/>
      <c r="D499" s="167"/>
      <c r="E499" s="141">
        <v>2019</v>
      </c>
      <c r="F499" s="79">
        <f t="shared" si="45"/>
        <v>2076.3000000000002</v>
      </c>
      <c r="G499" s="14"/>
      <c r="H499" s="14">
        <f>2238.5-162.2</f>
        <v>2076.3000000000002</v>
      </c>
      <c r="I499" s="14"/>
      <c r="J499" s="14"/>
      <c r="K499" s="151"/>
      <c r="L499" s="124" t="s">
        <v>256</v>
      </c>
      <c r="M499" s="131"/>
    </row>
    <row r="500" spans="1:13" x14ac:dyDescent="0.2">
      <c r="A500" s="335"/>
      <c r="B500" s="310"/>
      <c r="C500" s="167"/>
      <c r="D500" s="167"/>
      <c r="E500" s="141">
        <v>2020</v>
      </c>
      <c r="F500" s="79">
        <f t="shared" si="45"/>
        <v>2350.4</v>
      </c>
      <c r="G500" s="14"/>
      <c r="H500" s="14">
        <v>2350.4</v>
      </c>
      <c r="I500" s="14"/>
      <c r="J500" s="14"/>
      <c r="K500" s="151"/>
    </row>
    <row r="501" spans="1:13" ht="18.75" customHeight="1" x14ac:dyDescent="0.2">
      <c r="A501" s="335"/>
      <c r="B501" s="310"/>
      <c r="C501" s="180"/>
      <c r="D501" s="180"/>
      <c r="E501" s="24" t="s">
        <v>18</v>
      </c>
      <c r="F501" s="21">
        <f>SUM(F495:F500)</f>
        <v>12338.800000000001</v>
      </c>
      <c r="G501" s="13"/>
      <c r="H501" s="13">
        <f>SUM(H495:H500)</f>
        <v>12338.800000000001</v>
      </c>
      <c r="I501" s="14"/>
      <c r="J501" s="14"/>
      <c r="K501" s="151"/>
    </row>
    <row r="502" spans="1:13" x14ac:dyDescent="0.2">
      <c r="A502" s="334" t="s">
        <v>107</v>
      </c>
      <c r="B502" s="171" t="s">
        <v>88</v>
      </c>
      <c r="C502" s="194" t="s">
        <v>69</v>
      </c>
      <c r="D502" s="154" t="s">
        <v>222</v>
      </c>
      <c r="E502" s="141">
        <v>2015</v>
      </c>
      <c r="F502" s="79">
        <f t="shared" ref="F502:F507" si="46">SUM(G502:J502)</f>
        <v>759.90000000000009</v>
      </c>
      <c r="G502" s="14"/>
      <c r="H502" s="14">
        <f>783-27.3+4.2</f>
        <v>759.90000000000009</v>
      </c>
      <c r="I502" s="14"/>
      <c r="J502" s="14"/>
      <c r="K502" s="151"/>
    </row>
    <row r="503" spans="1:13" x14ac:dyDescent="0.2">
      <c r="A503" s="335"/>
      <c r="B503" s="203"/>
      <c r="C503" s="167"/>
      <c r="D503" s="167"/>
      <c r="E503" s="141">
        <v>2016</v>
      </c>
      <c r="F503" s="79">
        <f t="shared" si="46"/>
        <v>753.4</v>
      </c>
      <c r="G503" s="14"/>
      <c r="H503" s="14">
        <f>753.4</f>
        <v>753.4</v>
      </c>
      <c r="I503" s="14"/>
      <c r="J503" s="14"/>
      <c r="K503" s="151"/>
      <c r="L503" s="124" t="s">
        <v>267</v>
      </c>
    </row>
    <row r="504" spans="1:13" x14ac:dyDescent="0.2">
      <c r="A504" s="335"/>
      <c r="B504" s="203"/>
      <c r="C504" s="167"/>
      <c r="D504" s="167"/>
      <c r="E504" s="141">
        <v>2017</v>
      </c>
      <c r="F504" s="79">
        <f t="shared" si="46"/>
        <v>671.9</v>
      </c>
      <c r="G504" s="14"/>
      <c r="H504" s="14">
        <f>855-183.1</f>
        <v>671.9</v>
      </c>
      <c r="I504" s="14"/>
      <c r="J504" s="14"/>
      <c r="K504" s="151"/>
      <c r="L504" s="124" t="s">
        <v>256</v>
      </c>
      <c r="M504" s="131"/>
    </row>
    <row r="505" spans="1:13" x14ac:dyDescent="0.2">
      <c r="A505" s="335"/>
      <c r="B505" s="203"/>
      <c r="C505" s="167"/>
      <c r="D505" s="167"/>
      <c r="E505" s="141">
        <v>2018</v>
      </c>
      <c r="F505" s="79">
        <f t="shared" si="46"/>
        <v>698.80000000000007</v>
      </c>
      <c r="G505" s="14"/>
      <c r="H505" s="14">
        <f>737.6-38.8</f>
        <v>698.80000000000007</v>
      </c>
      <c r="I505" s="14"/>
      <c r="J505" s="14"/>
      <c r="K505" s="151"/>
      <c r="L505" s="124" t="s">
        <v>256</v>
      </c>
      <c r="M505" s="131"/>
    </row>
    <row r="506" spans="1:13" x14ac:dyDescent="0.2">
      <c r="A506" s="335"/>
      <c r="B506" s="203"/>
      <c r="C506" s="167"/>
      <c r="D506" s="167"/>
      <c r="E506" s="141">
        <v>2019</v>
      </c>
      <c r="F506" s="79">
        <f t="shared" si="46"/>
        <v>726.80000000000007</v>
      </c>
      <c r="G506" s="14"/>
      <c r="H506" s="14">
        <f>778.2-51.4</f>
        <v>726.80000000000007</v>
      </c>
      <c r="I506" s="14"/>
      <c r="J506" s="14"/>
      <c r="K506" s="151"/>
      <c r="L506" s="124" t="s">
        <v>256</v>
      </c>
      <c r="M506" s="131"/>
    </row>
    <row r="507" spans="1:13" x14ac:dyDescent="0.2">
      <c r="A507" s="335"/>
      <c r="B507" s="203"/>
      <c r="C507" s="167"/>
      <c r="D507" s="167"/>
      <c r="E507" s="141">
        <v>2020</v>
      </c>
      <c r="F507" s="79">
        <f t="shared" si="46"/>
        <v>817.1</v>
      </c>
      <c r="G507" s="14"/>
      <c r="H507" s="14">
        <v>817.1</v>
      </c>
      <c r="I507" s="14"/>
      <c r="J507" s="14"/>
      <c r="K507" s="151"/>
    </row>
    <row r="508" spans="1:13" x14ac:dyDescent="0.2">
      <c r="A508" s="335"/>
      <c r="B508" s="182"/>
      <c r="C508" s="167"/>
      <c r="D508" s="180"/>
      <c r="E508" s="24" t="s">
        <v>18</v>
      </c>
      <c r="F508" s="21">
        <f>SUM(F502:F507)</f>
        <v>4427.9000000000005</v>
      </c>
      <c r="G508" s="13"/>
      <c r="H508" s="13">
        <f>SUM(H502:H507)</f>
        <v>4427.9000000000005</v>
      </c>
      <c r="I508" s="13"/>
      <c r="J508" s="13"/>
      <c r="K508" s="151"/>
    </row>
    <row r="509" spans="1:13" x14ac:dyDescent="0.2">
      <c r="A509" s="334" t="s">
        <v>109</v>
      </c>
      <c r="B509" s="171" t="s">
        <v>89</v>
      </c>
      <c r="C509" s="194" t="s">
        <v>69</v>
      </c>
      <c r="D509" s="154" t="s">
        <v>222</v>
      </c>
      <c r="E509" s="141">
        <v>2015</v>
      </c>
      <c r="F509" s="79">
        <f t="shared" ref="F509:F514" si="47">SUM(G509:J509)</f>
        <v>285</v>
      </c>
      <c r="G509" s="14"/>
      <c r="H509" s="14"/>
      <c r="I509" s="14">
        <v>285</v>
      </c>
      <c r="J509" s="14"/>
      <c r="K509" s="151"/>
    </row>
    <row r="510" spans="1:13" x14ac:dyDescent="0.2">
      <c r="A510" s="335"/>
      <c r="B510" s="203"/>
      <c r="C510" s="167"/>
      <c r="D510" s="167"/>
      <c r="E510" s="141">
        <v>2016</v>
      </c>
      <c r="F510" s="79">
        <f t="shared" si="47"/>
        <v>229.59999999999997</v>
      </c>
      <c r="G510" s="14"/>
      <c r="H510" s="14"/>
      <c r="I510" s="14">
        <f>281.4-51.8</f>
        <v>229.59999999999997</v>
      </c>
      <c r="J510" s="14"/>
      <c r="K510" s="151"/>
      <c r="L510" s="124" t="s">
        <v>297</v>
      </c>
    </row>
    <row r="511" spans="1:13" x14ac:dyDescent="0.2">
      <c r="A511" s="335"/>
      <c r="B511" s="203"/>
      <c r="C511" s="167"/>
      <c r="D511" s="167"/>
      <c r="E511" s="141">
        <v>2017</v>
      </c>
      <c r="F511" s="79">
        <f t="shared" si="47"/>
        <v>225.6</v>
      </c>
      <c r="G511" s="14"/>
      <c r="H511" s="14"/>
      <c r="I511" s="14">
        <v>225.6</v>
      </c>
      <c r="J511" s="14"/>
      <c r="K511" s="151"/>
      <c r="L511" s="124" t="s">
        <v>255</v>
      </c>
    </row>
    <row r="512" spans="1:13" x14ac:dyDescent="0.2">
      <c r="A512" s="335"/>
      <c r="B512" s="203"/>
      <c r="C512" s="167"/>
      <c r="D512" s="167"/>
      <c r="E512" s="141">
        <v>2018</v>
      </c>
      <c r="F512" s="79">
        <f t="shared" si="47"/>
        <v>0</v>
      </c>
      <c r="G512" s="14"/>
      <c r="H512" s="14"/>
      <c r="I512" s="14">
        <f>272.7-272.7</f>
        <v>0</v>
      </c>
      <c r="J512" s="14"/>
      <c r="K512" s="151"/>
      <c r="L512" s="124" t="s">
        <v>271</v>
      </c>
    </row>
    <row r="513" spans="1:35" x14ac:dyDescent="0.2">
      <c r="A513" s="335"/>
      <c r="B513" s="203"/>
      <c r="C513" s="167"/>
      <c r="D513" s="167"/>
      <c r="E513" s="141">
        <v>2019</v>
      </c>
      <c r="F513" s="79">
        <f t="shared" si="47"/>
        <v>0</v>
      </c>
      <c r="G513" s="14"/>
      <c r="H513" s="14"/>
      <c r="I513" s="14">
        <f>267.5-267.5</f>
        <v>0</v>
      </c>
      <c r="J513" s="14"/>
      <c r="K513" s="151"/>
      <c r="L513" s="4" t="s">
        <v>271</v>
      </c>
    </row>
    <row r="514" spans="1:35" x14ac:dyDescent="0.2">
      <c r="A514" s="335"/>
      <c r="B514" s="203"/>
      <c r="C514" s="167"/>
      <c r="D514" s="167"/>
      <c r="E514" s="141">
        <v>2020</v>
      </c>
      <c r="F514" s="79">
        <f t="shared" si="47"/>
        <v>261.8</v>
      </c>
      <c r="G514" s="14"/>
      <c r="H514" s="14"/>
      <c r="I514" s="14">
        <v>261.8</v>
      </c>
      <c r="J514" s="14"/>
      <c r="K514" s="151"/>
    </row>
    <row r="515" spans="1:35" ht="60.75" customHeight="1" x14ac:dyDescent="0.2">
      <c r="A515" s="335"/>
      <c r="B515" s="182"/>
      <c r="C515" s="167"/>
      <c r="D515" s="180"/>
      <c r="E515" s="24" t="s">
        <v>18</v>
      </c>
      <c r="F515" s="21">
        <f>SUM(F509:F514)</f>
        <v>1002</v>
      </c>
      <c r="G515" s="13"/>
      <c r="H515" s="13"/>
      <c r="I515" s="13">
        <f>SUM(I509:I514)</f>
        <v>1002</v>
      </c>
      <c r="J515" s="13"/>
      <c r="K515" s="151"/>
    </row>
    <row r="516" spans="1:35" x14ac:dyDescent="0.2">
      <c r="A516" s="334" t="s">
        <v>110</v>
      </c>
      <c r="B516" s="165" t="s">
        <v>90</v>
      </c>
      <c r="C516" s="194" t="s">
        <v>69</v>
      </c>
      <c r="D516" s="154" t="s">
        <v>222</v>
      </c>
      <c r="E516" s="141">
        <v>2015</v>
      </c>
      <c r="F516" s="79">
        <f t="shared" ref="F516:F521" si="48">SUM(G516:I516)</f>
        <v>7143.2</v>
      </c>
      <c r="G516" s="14"/>
      <c r="H516" s="14">
        <f>7797.5+70.5-920.2-88.1</f>
        <v>6859.7</v>
      </c>
      <c r="I516" s="14">
        <v>283.5</v>
      </c>
      <c r="J516" s="14"/>
      <c r="K516" s="151"/>
    </row>
    <row r="517" spans="1:35" x14ac:dyDescent="0.2">
      <c r="A517" s="335"/>
      <c r="B517" s="186"/>
      <c r="C517" s="167"/>
      <c r="D517" s="167"/>
      <c r="E517" s="141">
        <v>2016</v>
      </c>
      <c r="F517" s="79">
        <f t="shared" si="48"/>
        <v>6232.8</v>
      </c>
      <c r="G517" s="14"/>
      <c r="H517" s="14">
        <f>9160.9-998.2-2081</f>
        <v>6081.7</v>
      </c>
      <c r="I517" s="14">
        <f>296.8-145.7</f>
        <v>151.10000000000002</v>
      </c>
      <c r="J517" s="14"/>
      <c r="K517" s="151"/>
      <c r="L517" s="124" t="s">
        <v>298</v>
      </c>
    </row>
    <row r="518" spans="1:35" x14ac:dyDescent="0.2">
      <c r="A518" s="335"/>
      <c r="B518" s="186"/>
      <c r="C518" s="167"/>
      <c r="D518" s="167"/>
      <c r="E518" s="141">
        <v>2017</v>
      </c>
      <c r="F518" s="79">
        <f t="shared" si="48"/>
        <v>8190.4</v>
      </c>
      <c r="G518" s="14"/>
      <c r="H518" s="14">
        <f>8514.9-550.1</f>
        <v>7964.7999999999993</v>
      </c>
      <c r="I518" s="14">
        <f>309.6-84</f>
        <v>225.60000000000002</v>
      </c>
      <c r="J518" s="14"/>
      <c r="K518" s="151"/>
      <c r="L518" s="124" t="s">
        <v>256</v>
      </c>
      <c r="M518" s="131"/>
      <c r="N518" s="131"/>
    </row>
    <row r="519" spans="1:35" x14ac:dyDescent="0.2">
      <c r="A519" s="335"/>
      <c r="B519" s="186"/>
      <c r="C519" s="167"/>
      <c r="D519" s="167"/>
      <c r="E519" s="141">
        <v>2018</v>
      </c>
      <c r="F519" s="79">
        <f t="shared" si="48"/>
        <v>8237.5</v>
      </c>
      <c r="G519" s="14"/>
      <c r="H519" s="14">
        <f>12080-4115.2</f>
        <v>7964.8</v>
      </c>
      <c r="I519" s="14">
        <f>61+211.7</f>
        <v>272.7</v>
      </c>
      <c r="J519" s="14"/>
      <c r="K519" s="151"/>
      <c r="L519" s="124" t="s">
        <v>256</v>
      </c>
      <c r="M519" s="131"/>
      <c r="N519" s="131"/>
    </row>
    <row r="520" spans="1:35" x14ac:dyDescent="0.2">
      <c r="A520" s="335"/>
      <c r="B520" s="186"/>
      <c r="C520" s="167"/>
      <c r="D520" s="167"/>
      <c r="E520" s="141">
        <v>2019</v>
      </c>
      <c r="F520" s="79">
        <f t="shared" si="48"/>
        <v>8232.2999999999993</v>
      </c>
      <c r="G520" s="14"/>
      <c r="H520" s="14">
        <f>12723-4758.2</f>
        <v>7964.8</v>
      </c>
      <c r="I520" s="14">
        <f>64.4+203.1</f>
        <v>267.5</v>
      </c>
      <c r="J520" s="14"/>
      <c r="K520" s="151"/>
      <c r="L520" s="4" t="s">
        <v>256</v>
      </c>
      <c r="M520" s="131"/>
      <c r="N520" s="131"/>
    </row>
    <row r="521" spans="1:35" x14ac:dyDescent="0.2">
      <c r="A521" s="335"/>
      <c r="B521" s="186"/>
      <c r="C521" s="167"/>
      <c r="D521" s="167"/>
      <c r="E521" s="141">
        <v>2020</v>
      </c>
      <c r="F521" s="79">
        <f t="shared" si="48"/>
        <v>13426.2</v>
      </c>
      <c r="G521" s="14"/>
      <c r="H521" s="14">
        <v>13359</v>
      </c>
      <c r="I521" s="14">
        <v>67.2</v>
      </c>
      <c r="J521" s="14"/>
      <c r="K521" s="151"/>
    </row>
    <row r="522" spans="1:35" ht="35.25" customHeight="1" x14ac:dyDescent="0.2">
      <c r="A522" s="335"/>
      <c r="B522" s="186"/>
      <c r="C522" s="167"/>
      <c r="D522" s="180"/>
      <c r="E522" s="24" t="s">
        <v>18</v>
      </c>
      <c r="F522" s="21">
        <f>SUM(F516:F521)</f>
        <v>51462.399999999994</v>
      </c>
      <c r="G522" s="13"/>
      <c r="H522" s="13">
        <f>SUM(H516:H521)</f>
        <v>50194.799999999996</v>
      </c>
      <c r="I522" s="13">
        <f>SUM(I516:I521)</f>
        <v>1267.6000000000001</v>
      </c>
      <c r="J522" s="14"/>
      <c r="K522" s="155"/>
    </row>
    <row r="523" spans="1:35" ht="26.25" thickBot="1" x14ac:dyDescent="0.25">
      <c r="A523" s="195" t="s">
        <v>208</v>
      </c>
      <c r="B523" s="203"/>
      <c r="C523" s="203"/>
      <c r="D523" s="203"/>
      <c r="E523" s="61" t="s">
        <v>61</v>
      </c>
      <c r="F523" s="20">
        <f>F501+F508+F515+F522</f>
        <v>69231.099999999991</v>
      </c>
      <c r="G523" s="20">
        <f>G501+G508+G515+G522</f>
        <v>0</v>
      </c>
      <c r="H523" s="20">
        <f>H501+H508+H515+H522</f>
        <v>66961.5</v>
      </c>
      <c r="I523" s="20">
        <f>I501+I508+I515+I522</f>
        <v>2269.6000000000004</v>
      </c>
      <c r="J523" s="18"/>
      <c r="K523" s="61"/>
    </row>
    <row r="524" spans="1:35" ht="27" customHeight="1" thickBot="1" x14ac:dyDescent="0.25">
      <c r="A524" s="187" t="s">
        <v>209</v>
      </c>
      <c r="B524" s="341"/>
      <c r="C524" s="341"/>
      <c r="D524" s="341"/>
      <c r="E524" s="341"/>
      <c r="F524" s="341"/>
      <c r="G524" s="341"/>
      <c r="H524" s="341"/>
      <c r="I524" s="341"/>
      <c r="J524" s="341"/>
      <c r="K524" s="342"/>
      <c r="L524" s="70"/>
      <c r="M524" s="70"/>
      <c r="N524" s="70"/>
      <c r="O524" s="70"/>
      <c r="P524" s="70"/>
      <c r="Q524" s="70"/>
      <c r="R524" s="70"/>
      <c r="S524" s="70"/>
      <c r="T524" s="70"/>
      <c r="U524" s="70"/>
      <c r="V524" s="70"/>
      <c r="W524" s="70"/>
      <c r="X524" s="70"/>
      <c r="Y524" s="70"/>
      <c r="Z524" s="70"/>
      <c r="AA524" s="70"/>
      <c r="AB524" s="70"/>
      <c r="AC524" s="70"/>
      <c r="AD524" s="70"/>
      <c r="AE524" s="70"/>
      <c r="AF524" s="70"/>
      <c r="AG524" s="70"/>
      <c r="AH524" s="70"/>
      <c r="AI524" s="71"/>
    </row>
    <row r="525" spans="1:35" ht="15" thickBot="1" x14ac:dyDescent="0.25">
      <c r="A525" s="187" t="s">
        <v>210</v>
      </c>
      <c r="B525" s="341"/>
      <c r="C525" s="341"/>
      <c r="D525" s="341"/>
      <c r="E525" s="341"/>
      <c r="F525" s="341"/>
      <c r="G525" s="341"/>
      <c r="H525" s="341"/>
      <c r="I525" s="341"/>
      <c r="J525" s="341"/>
      <c r="K525" s="342"/>
    </row>
    <row r="526" spans="1:35" x14ac:dyDescent="0.2">
      <c r="A526" s="334" t="s">
        <v>65</v>
      </c>
      <c r="B526" s="165" t="s">
        <v>91</v>
      </c>
      <c r="C526" s="177" t="s">
        <v>61</v>
      </c>
      <c r="D526" s="271" t="s">
        <v>222</v>
      </c>
      <c r="E526" s="141">
        <v>2015</v>
      </c>
      <c r="F526" s="79">
        <f t="shared" ref="F526:F531" si="49">SUM(G526:I526)</f>
        <v>45</v>
      </c>
      <c r="G526" s="14"/>
      <c r="H526" s="14"/>
      <c r="I526" s="14">
        <v>45</v>
      </c>
      <c r="J526" s="14"/>
      <c r="K526" s="271" t="s">
        <v>176</v>
      </c>
    </row>
    <row r="527" spans="1:35" x14ac:dyDescent="0.2">
      <c r="A527" s="335"/>
      <c r="B527" s="186"/>
      <c r="C527" s="178"/>
      <c r="D527" s="167"/>
      <c r="E527" s="141">
        <v>2016</v>
      </c>
      <c r="F527" s="79">
        <f t="shared" si="49"/>
        <v>47</v>
      </c>
      <c r="G527" s="14"/>
      <c r="H527" s="14"/>
      <c r="I527" s="14">
        <v>47</v>
      </c>
      <c r="J527" s="14"/>
      <c r="K527" s="151"/>
    </row>
    <row r="528" spans="1:35" x14ac:dyDescent="0.2">
      <c r="A528" s="335"/>
      <c r="B528" s="186"/>
      <c r="C528" s="178"/>
      <c r="D528" s="167"/>
      <c r="E528" s="141">
        <v>2017</v>
      </c>
      <c r="F528" s="79">
        <f t="shared" si="49"/>
        <v>42</v>
      </c>
      <c r="G528" s="14"/>
      <c r="H528" s="14"/>
      <c r="I528" s="14">
        <v>42</v>
      </c>
      <c r="J528" s="14"/>
      <c r="K528" s="151"/>
      <c r="L528" s="124" t="s">
        <v>255</v>
      </c>
    </row>
    <row r="529" spans="1:12" x14ac:dyDescent="0.2">
      <c r="A529" s="335"/>
      <c r="B529" s="186"/>
      <c r="C529" s="178"/>
      <c r="D529" s="167"/>
      <c r="E529" s="141">
        <v>2018</v>
      </c>
      <c r="F529" s="79">
        <f t="shared" si="49"/>
        <v>51</v>
      </c>
      <c r="G529" s="14"/>
      <c r="H529" s="14"/>
      <c r="I529" s="14">
        <v>51</v>
      </c>
      <c r="J529" s="14"/>
      <c r="K529" s="151"/>
      <c r="L529" s="124" t="s">
        <v>274</v>
      </c>
    </row>
    <row r="530" spans="1:12" x14ac:dyDescent="0.2">
      <c r="A530" s="335"/>
      <c r="B530" s="186"/>
      <c r="C530" s="178"/>
      <c r="D530" s="167"/>
      <c r="E530" s="141">
        <v>2019</v>
      </c>
      <c r="F530" s="79">
        <f t="shared" si="49"/>
        <v>53</v>
      </c>
      <c r="G530" s="14"/>
      <c r="H530" s="14"/>
      <c r="I530" s="14">
        <v>53</v>
      </c>
      <c r="J530" s="14"/>
      <c r="K530" s="151"/>
      <c r="L530" s="124" t="s">
        <v>274</v>
      </c>
    </row>
    <row r="531" spans="1:12" x14ac:dyDescent="0.2">
      <c r="A531" s="335"/>
      <c r="B531" s="186"/>
      <c r="C531" s="178"/>
      <c r="D531" s="167"/>
      <c r="E531" s="141">
        <v>2020</v>
      </c>
      <c r="F531" s="79">
        <f t="shared" si="49"/>
        <v>55</v>
      </c>
      <c r="G531" s="14"/>
      <c r="H531" s="14"/>
      <c r="I531" s="14">
        <v>55</v>
      </c>
      <c r="J531" s="14"/>
      <c r="K531" s="151"/>
    </row>
    <row r="532" spans="1:12" x14ac:dyDescent="0.2">
      <c r="A532" s="335"/>
      <c r="B532" s="186"/>
      <c r="C532" s="178"/>
      <c r="D532" s="180"/>
      <c r="E532" s="24" t="s">
        <v>18</v>
      </c>
      <c r="F532" s="21">
        <f>SUM(F526:F531)</f>
        <v>293</v>
      </c>
      <c r="G532" s="13"/>
      <c r="H532" s="13"/>
      <c r="I532" s="13">
        <f>SUM(I526:I531)</f>
        <v>293</v>
      </c>
      <c r="J532" s="14"/>
      <c r="K532" s="155"/>
    </row>
    <row r="533" spans="1:12" x14ac:dyDescent="0.2">
      <c r="A533" s="172" t="s">
        <v>333</v>
      </c>
      <c r="B533" s="165" t="s">
        <v>92</v>
      </c>
      <c r="C533" s="177" t="s">
        <v>61</v>
      </c>
      <c r="D533" s="154" t="s">
        <v>222</v>
      </c>
      <c r="E533" s="141">
        <v>2015</v>
      </c>
      <c r="F533" s="79">
        <f t="shared" ref="F533:F538" si="50">I533</f>
        <v>12</v>
      </c>
      <c r="G533" s="14"/>
      <c r="H533" s="14"/>
      <c r="I533" s="14">
        <v>12</v>
      </c>
      <c r="J533" s="14"/>
      <c r="K533" s="154" t="s">
        <v>177</v>
      </c>
    </row>
    <row r="534" spans="1:12" x14ac:dyDescent="0.2">
      <c r="A534" s="173"/>
      <c r="B534" s="186"/>
      <c r="C534" s="178"/>
      <c r="D534" s="167"/>
      <c r="E534" s="141">
        <v>2016</v>
      </c>
      <c r="F534" s="79">
        <f t="shared" si="50"/>
        <v>12.5</v>
      </c>
      <c r="G534" s="14"/>
      <c r="H534" s="14"/>
      <c r="I534" s="14">
        <v>12.5</v>
      </c>
      <c r="J534" s="14"/>
      <c r="K534" s="151"/>
    </row>
    <row r="535" spans="1:12" x14ac:dyDescent="0.2">
      <c r="A535" s="173"/>
      <c r="B535" s="186"/>
      <c r="C535" s="178"/>
      <c r="D535" s="167"/>
      <c r="E535" s="141">
        <v>2017</v>
      </c>
      <c r="F535" s="79">
        <f t="shared" si="50"/>
        <v>9.3000000000000007</v>
      </c>
      <c r="G535" s="14"/>
      <c r="H535" s="14"/>
      <c r="I535" s="14">
        <v>9.3000000000000007</v>
      </c>
      <c r="J535" s="14"/>
      <c r="K535" s="151"/>
      <c r="L535" s="124" t="s">
        <v>255</v>
      </c>
    </row>
    <row r="536" spans="1:12" x14ac:dyDescent="0.2">
      <c r="A536" s="173"/>
      <c r="B536" s="186"/>
      <c r="C536" s="178"/>
      <c r="D536" s="167"/>
      <c r="E536" s="141">
        <v>2018</v>
      </c>
      <c r="F536" s="79">
        <f t="shared" si="50"/>
        <v>13.5</v>
      </c>
      <c r="G536" s="14"/>
      <c r="H536" s="14"/>
      <c r="I536" s="14">
        <v>13.5</v>
      </c>
      <c r="J536" s="14"/>
      <c r="K536" s="151"/>
      <c r="L536" s="124" t="s">
        <v>274</v>
      </c>
    </row>
    <row r="537" spans="1:12" x14ac:dyDescent="0.2">
      <c r="A537" s="173"/>
      <c r="B537" s="186"/>
      <c r="C537" s="178"/>
      <c r="D537" s="167"/>
      <c r="E537" s="141">
        <v>2019</v>
      </c>
      <c r="F537" s="79">
        <f t="shared" si="50"/>
        <v>14</v>
      </c>
      <c r="G537" s="14"/>
      <c r="H537" s="14"/>
      <c r="I537" s="14">
        <v>14</v>
      </c>
      <c r="J537" s="14"/>
      <c r="K537" s="151"/>
      <c r="L537" s="124" t="s">
        <v>274</v>
      </c>
    </row>
    <row r="538" spans="1:12" x14ac:dyDescent="0.2">
      <c r="A538" s="173"/>
      <c r="B538" s="186"/>
      <c r="C538" s="178"/>
      <c r="D538" s="167"/>
      <c r="E538" s="141">
        <v>2020</v>
      </c>
      <c r="F538" s="79">
        <f t="shared" si="50"/>
        <v>14.5</v>
      </c>
      <c r="G538" s="14"/>
      <c r="H538" s="14"/>
      <c r="I538" s="14">
        <v>14.5</v>
      </c>
      <c r="J538" s="14"/>
      <c r="K538" s="151"/>
    </row>
    <row r="539" spans="1:12" x14ac:dyDescent="0.2">
      <c r="A539" s="173"/>
      <c r="B539" s="186"/>
      <c r="C539" s="178"/>
      <c r="D539" s="180"/>
      <c r="E539" s="24" t="s">
        <v>18</v>
      </c>
      <c r="F539" s="21">
        <f>SUM(F533:F538)</f>
        <v>75.8</v>
      </c>
      <c r="G539" s="13"/>
      <c r="H539" s="13"/>
      <c r="I539" s="13">
        <f>SUM(I533:I538)</f>
        <v>75.8</v>
      </c>
      <c r="J539" s="14"/>
      <c r="K539" s="155"/>
    </row>
    <row r="540" spans="1:12" x14ac:dyDescent="0.2">
      <c r="A540" s="172" t="s">
        <v>341</v>
      </c>
      <c r="B540" s="165" t="s">
        <v>93</v>
      </c>
      <c r="C540" s="177" t="s">
        <v>61</v>
      </c>
      <c r="D540" s="154" t="s">
        <v>222</v>
      </c>
      <c r="E540" s="141">
        <v>2015</v>
      </c>
      <c r="F540" s="80"/>
      <c r="G540" s="2"/>
      <c r="H540" s="2"/>
      <c r="I540" s="2"/>
      <c r="J540" s="2"/>
      <c r="K540" s="154" t="s">
        <v>178</v>
      </c>
    </row>
    <row r="541" spans="1:12" x14ac:dyDescent="0.2">
      <c r="A541" s="173"/>
      <c r="B541" s="186"/>
      <c r="C541" s="178"/>
      <c r="D541" s="167"/>
      <c r="E541" s="141">
        <v>2016</v>
      </c>
      <c r="F541" s="80"/>
      <c r="G541" s="2"/>
      <c r="H541" s="2"/>
      <c r="I541" s="2"/>
      <c r="J541" s="2"/>
      <c r="K541" s="151"/>
    </row>
    <row r="542" spans="1:12" x14ac:dyDescent="0.2">
      <c r="A542" s="173"/>
      <c r="B542" s="186"/>
      <c r="C542" s="178"/>
      <c r="D542" s="167"/>
      <c r="E542" s="141">
        <v>2017</v>
      </c>
      <c r="F542" s="80"/>
      <c r="G542" s="2"/>
      <c r="H542" s="2"/>
      <c r="I542" s="2"/>
      <c r="J542" s="2"/>
      <c r="K542" s="151"/>
    </row>
    <row r="543" spans="1:12" x14ac:dyDescent="0.2">
      <c r="A543" s="173"/>
      <c r="B543" s="186"/>
      <c r="C543" s="178"/>
      <c r="D543" s="167"/>
      <c r="E543" s="141">
        <v>2018</v>
      </c>
      <c r="F543" s="80"/>
      <c r="G543" s="2"/>
      <c r="H543" s="2"/>
      <c r="I543" s="2"/>
      <c r="J543" s="2"/>
      <c r="K543" s="151"/>
    </row>
    <row r="544" spans="1:12" x14ac:dyDescent="0.2">
      <c r="A544" s="173"/>
      <c r="B544" s="186"/>
      <c r="C544" s="178"/>
      <c r="D544" s="167"/>
      <c r="E544" s="141">
        <v>2019</v>
      </c>
      <c r="F544" s="80"/>
      <c r="G544" s="2"/>
      <c r="H544" s="2"/>
      <c r="I544" s="2"/>
      <c r="J544" s="2"/>
      <c r="K544" s="151"/>
    </row>
    <row r="545" spans="1:35" x14ac:dyDescent="0.2">
      <c r="A545" s="173"/>
      <c r="B545" s="186"/>
      <c r="C545" s="178"/>
      <c r="D545" s="167"/>
      <c r="E545" s="141">
        <v>2020</v>
      </c>
      <c r="F545" s="80"/>
      <c r="G545" s="2"/>
      <c r="H545" s="2"/>
      <c r="I545" s="2"/>
      <c r="J545" s="2"/>
      <c r="K545" s="151"/>
    </row>
    <row r="546" spans="1:35" x14ac:dyDescent="0.2">
      <c r="A546" s="173"/>
      <c r="B546" s="186"/>
      <c r="C546" s="178"/>
      <c r="D546" s="180"/>
      <c r="E546" s="24" t="s">
        <v>18</v>
      </c>
      <c r="F546" s="80"/>
      <c r="G546" s="2"/>
      <c r="H546" s="2"/>
      <c r="I546" s="2"/>
      <c r="J546" s="2"/>
      <c r="K546" s="155"/>
    </row>
    <row r="547" spans="1:35" ht="12.75" customHeight="1" x14ac:dyDescent="0.2">
      <c r="A547" s="172" t="s">
        <v>342</v>
      </c>
      <c r="B547" s="165" t="s">
        <v>94</v>
      </c>
      <c r="C547" s="177" t="s">
        <v>61</v>
      </c>
      <c r="D547" s="154" t="s">
        <v>222</v>
      </c>
      <c r="E547" s="141">
        <v>2015</v>
      </c>
      <c r="F547" s="80"/>
      <c r="G547" s="2"/>
      <c r="H547" s="2"/>
      <c r="I547" s="2"/>
      <c r="J547" s="2"/>
      <c r="K547" s="154" t="s">
        <v>179</v>
      </c>
    </row>
    <row r="548" spans="1:35" x14ac:dyDescent="0.2">
      <c r="A548" s="173"/>
      <c r="B548" s="186"/>
      <c r="C548" s="178"/>
      <c r="D548" s="167"/>
      <c r="E548" s="141">
        <v>2016</v>
      </c>
      <c r="F548" s="80"/>
      <c r="G548" s="2"/>
      <c r="H548" s="2"/>
      <c r="I548" s="2"/>
      <c r="J548" s="2"/>
      <c r="K548" s="151"/>
    </row>
    <row r="549" spans="1:35" x14ac:dyDescent="0.2">
      <c r="A549" s="173"/>
      <c r="B549" s="186"/>
      <c r="C549" s="178"/>
      <c r="D549" s="167"/>
      <c r="E549" s="141">
        <v>2017</v>
      </c>
      <c r="F549" s="80"/>
      <c r="G549" s="2"/>
      <c r="H549" s="2"/>
      <c r="I549" s="2"/>
      <c r="J549" s="2"/>
      <c r="K549" s="151"/>
    </row>
    <row r="550" spans="1:35" x14ac:dyDescent="0.2">
      <c r="A550" s="173"/>
      <c r="B550" s="186"/>
      <c r="C550" s="178"/>
      <c r="D550" s="167"/>
      <c r="E550" s="141">
        <v>2018</v>
      </c>
      <c r="F550" s="80"/>
      <c r="G550" s="2"/>
      <c r="H550" s="2"/>
      <c r="I550" s="2"/>
      <c r="J550" s="2"/>
      <c r="K550" s="151"/>
    </row>
    <row r="551" spans="1:35" x14ac:dyDescent="0.2">
      <c r="A551" s="173"/>
      <c r="B551" s="186"/>
      <c r="C551" s="178"/>
      <c r="D551" s="167"/>
      <c r="E551" s="141">
        <v>2019</v>
      </c>
      <c r="F551" s="80"/>
      <c r="G551" s="2"/>
      <c r="H551" s="2"/>
      <c r="I551" s="2"/>
      <c r="J551" s="2"/>
      <c r="K551" s="151"/>
    </row>
    <row r="552" spans="1:35" x14ac:dyDescent="0.2">
      <c r="A552" s="173"/>
      <c r="B552" s="186"/>
      <c r="C552" s="178"/>
      <c r="D552" s="167"/>
      <c r="E552" s="141">
        <v>2020</v>
      </c>
      <c r="F552" s="80"/>
      <c r="G552" s="2"/>
      <c r="H552" s="2"/>
      <c r="I552" s="2"/>
      <c r="J552" s="2"/>
      <c r="K552" s="151"/>
    </row>
    <row r="553" spans="1:35" ht="24.75" customHeight="1" x14ac:dyDescent="0.2">
      <c r="A553" s="173"/>
      <c r="B553" s="186"/>
      <c r="C553" s="178"/>
      <c r="D553" s="180"/>
      <c r="E553" s="24" t="s">
        <v>18</v>
      </c>
      <c r="F553" s="80"/>
      <c r="G553" s="2"/>
      <c r="H553" s="2"/>
      <c r="I553" s="2"/>
      <c r="J553" s="2"/>
      <c r="K553" s="151"/>
    </row>
    <row r="554" spans="1:35" ht="26.25" thickBot="1" x14ac:dyDescent="0.25">
      <c r="A554" s="181" t="s">
        <v>211</v>
      </c>
      <c r="B554" s="182"/>
      <c r="C554" s="182"/>
      <c r="D554" s="182"/>
      <c r="E554" s="6" t="s">
        <v>61</v>
      </c>
      <c r="F554" s="17">
        <f>F532+F539</f>
        <v>368.8</v>
      </c>
      <c r="G554" s="17"/>
      <c r="H554" s="17"/>
      <c r="I554" s="17">
        <f>I532+I539</f>
        <v>368.8</v>
      </c>
      <c r="J554" s="17"/>
      <c r="K554" s="139"/>
    </row>
    <row r="555" spans="1:35" ht="31.5" customHeight="1" thickBot="1" x14ac:dyDescent="0.25">
      <c r="A555" s="245" t="s">
        <v>212</v>
      </c>
      <c r="B555" s="310"/>
      <c r="C555" s="310"/>
      <c r="D555" s="310"/>
      <c r="E555" s="310"/>
      <c r="F555" s="310"/>
      <c r="G555" s="310"/>
      <c r="H555" s="310"/>
      <c r="I555" s="310"/>
      <c r="J555" s="310"/>
      <c r="K555" s="310"/>
      <c r="L555" s="81"/>
      <c r="M555" s="81"/>
      <c r="N555" s="81"/>
      <c r="O555" s="81"/>
      <c r="P555" s="81"/>
      <c r="Q555" s="81"/>
      <c r="R555" s="81"/>
      <c r="S555" s="81"/>
      <c r="T555" s="81"/>
      <c r="U555" s="81"/>
      <c r="V555" s="81"/>
      <c r="W555" s="81"/>
      <c r="X555" s="81"/>
      <c r="Y555" s="81"/>
      <c r="Z555" s="81"/>
      <c r="AA555" s="81"/>
      <c r="AB555" s="81"/>
      <c r="AC555" s="81"/>
      <c r="AD555" s="81"/>
      <c r="AE555" s="81"/>
      <c r="AF555" s="81"/>
      <c r="AG555" s="81"/>
      <c r="AH555" s="81"/>
      <c r="AI555" s="82"/>
    </row>
    <row r="556" spans="1:35" ht="30" customHeight="1" thickBot="1" x14ac:dyDescent="0.25">
      <c r="A556" s="243" t="s">
        <v>213</v>
      </c>
      <c r="B556" s="387"/>
      <c r="C556" s="387"/>
      <c r="D556" s="244"/>
      <c r="E556" s="244"/>
      <c r="F556" s="244"/>
      <c r="G556" s="244"/>
      <c r="H556" s="244"/>
      <c r="I556" s="244"/>
      <c r="J556" s="244"/>
      <c r="K556" s="244"/>
      <c r="L556" s="83"/>
      <c r="M556" s="83"/>
      <c r="N556" s="83"/>
      <c r="O556" s="83"/>
      <c r="P556" s="83"/>
      <c r="Q556" s="83"/>
      <c r="R556" s="83"/>
      <c r="S556" s="83"/>
      <c r="T556" s="83"/>
      <c r="U556" s="83"/>
      <c r="V556" s="83"/>
      <c r="W556" s="83"/>
      <c r="X556" s="83"/>
      <c r="Y556" s="83"/>
      <c r="Z556" s="83"/>
      <c r="AA556" s="83"/>
      <c r="AB556" s="83"/>
      <c r="AC556" s="83"/>
      <c r="AD556" s="83"/>
      <c r="AE556" s="83"/>
      <c r="AF556" s="83"/>
      <c r="AG556" s="83"/>
      <c r="AH556" s="83"/>
      <c r="AI556" s="84"/>
    </row>
    <row r="557" spans="1:35" x14ac:dyDescent="0.2">
      <c r="A557" s="172" t="s">
        <v>95</v>
      </c>
      <c r="B557" s="165" t="s">
        <v>96</v>
      </c>
      <c r="C557" s="177" t="s">
        <v>61</v>
      </c>
      <c r="D557" s="154" t="s">
        <v>222</v>
      </c>
      <c r="E557" s="141">
        <v>2015</v>
      </c>
      <c r="F557" s="79">
        <f t="shared" ref="F557:F562" si="51">SUM(G557:I557)</f>
        <v>170</v>
      </c>
      <c r="G557" s="14"/>
      <c r="H557" s="14"/>
      <c r="I557" s="14">
        <v>170</v>
      </c>
      <c r="J557" s="14"/>
      <c r="K557" s="154" t="s">
        <v>180</v>
      </c>
    </row>
    <row r="558" spans="1:35" x14ac:dyDescent="0.2">
      <c r="A558" s="173"/>
      <c r="B558" s="186"/>
      <c r="C558" s="178"/>
      <c r="D558" s="167"/>
      <c r="E558" s="141">
        <v>2016</v>
      </c>
      <c r="F558" s="79">
        <f t="shared" si="51"/>
        <v>179.9</v>
      </c>
      <c r="G558" s="14"/>
      <c r="H558" s="14"/>
      <c r="I558" s="14">
        <f>180-0.1</f>
        <v>179.9</v>
      </c>
      <c r="J558" s="14"/>
      <c r="K558" s="151"/>
    </row>
    <row r="559" spans="1:35" x14ac:dyDescent="0.2">
      <c r="A559" s="173"/>
      <c r="B559" s="186"/>
      <c r="C559" s="178"/>
      <c r="D559" s="167"/>
      <c r="E559" s="141">
        <v>2017</v>
      </c>
      <c r="F559" s="79">
        <f t="shared" si="51"/>
        <v>155</v>
      </c>
      <c r="G559" s="14"/>
      <c r="H559" s="14"/>
      <c r="I559" s="14">
        <v>155</v>
      </c>
      <c r="J559" s="14"/>
      <c r="K559" s="151"/>
      <c r="L559" s="124" t="s">
        <v>255</v>
      </c>
    </row>
    <row r="560" spans="1:35" x14ac:dyDescent="0.2">
      <c r="A560" s="173"/>
      <c r="B560" s="186"/>
      <c r="C560" s="178"/>
      <c r="D560" s="167"/>
      <c r="E560" s="141">
        <v>2018</v>
      </c>
      <c r="F560" s="79">
        <f t="shared" si="51"/>
        <v>200</v>
      </c>
      <c r="G560" s="14"/>
      <c r="H560" s="14"/>
      <c r="I560" s="14">
        <v>200</v>
      </c>
      <c r="J560" s="14"/>
      <c r="K560" s="151"/>
      <c r="L560" s="124" t="s">
        <v>274</v>
      </c>
    </row>
    <row r="561" spans="1:35" x14ac:dyDescent="0.2">
      <c r="A561" s="173"/>
      <c r="B561" s="186"/>
      <c r="C561" s="178"/>
      <c r="D561" s="167"/>
      <c r="E561" s="141">
        <v>2019</v>
      </c>
      <c r="F561" s="79">
        <f t="shared" si="51"/>
        <v>210</v>
      </c>
      <c r="G561" s="14"/>
      <c r="H561" s="14"/>
      <c r="I561" s="14">
        <v>210</v>
      </c>
      <c r="J561" s="14"/>
      <c r="K561" s="151"/>
      <c r="L561" s="124" t="s">
        <v>274</v>
      </c>
    </row>
    <row r="562" spans="1:35" x14ac:dyDescent="0.2">
      <c r="A562" s="173"/>
      <c r="B562" s="186"/>
      <c r="C562" s="178"/>
      <c r="D562" s="167"/>
      <c r="E562" s="141">
        <v>2020</v>
      </c>
      <c r="F562" s="79">
        <f t="shared" si="51"/>
        <v>220</v>
      </c>
      <c r="G562" s="14"/>
      <c r="H562" s="14"/>
      <c r="I562" s="14">
        <v>220</v>
      </c>
      <c r="J562" s="14"/>
      <c r="K562" s="151"/>
    </row>
    <row r="563" spans="1:35" ht="13.5" thickBot="1" x14ac:dyDescent="0.25">
      <c r="A563" s="173"/>
      <c r="B563" s="186"/>
      <c r="C563" s="178"/>
      <c r="D563" s="180"/>
      <c r="E563" s="24" t="s">
        <v>18</v>
      </c>
      <c r="F563" s="21">
        <f>SUM(F557:F562)</f>
        <v>1134.9000000000001</v>
      </c>
      <c r="G563" s="13"/>
      <c r="H563" s="13"/>
      <c r="I563" s="13">
        <f>SUM(I557:I562)</f>
        <v>1134.9000000000001</v>
      </c>
      <c r="J563" s="14"/>
      <c r="K563" s="155"/>
    </row>
    <row r="564" spans="1:35" x14ac:dyDescent="0.2">
      <c r="A564" s="172" t="s">
        <v>68</v>
      </c>
      <c r="B564" s="175" t="s">
        <v>97</v>
      </c>
      <c r="C564" s="177" t="s">
        <v>61</v>
      </c>
      <c r="D564" s="154" t="s">
        <v>222</v>
      </c>
      <c r="E564" s="141">
        <v>2015</v>
      </c>
      <c r="F564" s="85"/>
      <c r="G564" s="14"/>
      <c r="H564" s="14"/>
      <c r="I564" s="14"/>
      <c r="J564" s="14"/>
      <c r="K564" s="154" t="s">
        <v>181</v>
      </c>
    </row>
    <row r="565" spans="1:35" x14ac:dyDescent="0.2">
      <c r="A565" s="173"/>
      <c r="B565" s="176"/>
      <c r="C565" s="178"/>
      <c r="D565" s="167"/>
      <c r="E565" s="141">
        <v>2016</v>
      </c>
      <c r="F565" s="85"/>
      <c r="G565" s="14"/>
      <c r="H565" s="14"/>
      <c r="I565" s="14"/>
      <c r="J565" s="14"/>
      <c r="K565" s="151"/>
    </row>
    <row r="566" spans="1:35" x14ac:dyDescent="0.2">
      <c r="A566" s="173"/>
      <c r="B566" s="176"/>
      <c r="C566" s="178"/>
      <c r="D566" s="167"/>
      <c r="E566" s="141">
        <v>2017</v>
      </c>
      <c r="F566" s="85"/>
      <c r="G566" s="14"/>
      <c r="H566" s="14"/>
      <c r="I566" s="14"/>
      <c r="J566" s="14"/>
      <c r="K566" s="151"/>
    </row>
    <row r="567" spans="1:35" x14ac:dyDescent="0.2">
      <c r="A567" s="173"/>
      <c r="B567" s="176"/>
      <c r="C567" s="178"/>
      <c r="D567" s="167"/>
      <c r="E567" s="141">
        <v>2018</v>
      </c>
      <c r="F567" s="85"/>
      <c r="G567" s="14"/>
      <c r="H567" s="14"/>
      <c r="I567" s="14"/>
      <c r="J567" s="14"/>
      <c r="K567" s="151"/>
    </row>
    <row r="568" spans="1:35" x14ac:dyDescent="0.2">
      <c r="A568" s="173"/>
      <c r="B568" s="176"/>
      <c r="C568" s="178"/>
      <c r="D568" s="167"/>
      <c r="E568" s="141">
        <v>2019</v>
      </c>
      <c r="F568" s="85"/>
      <c r="G568" s="14"/>
      <c r="H568" s="14"/>
      <c r="I568" s="14"/>
      <c r="J568" s="14"/>
      <c r="K568" s="151"/>
    </row>
    <row r="569" spans="1:35" x14ac:dyDescent="0.2">
      <c r="A569" s="173"/>
      <c r="B569" s="176"/>
      <c r="C569" s="178"/>
      <c r="D569" s="167"/>
      <c r="E569" s="141">
        <v>2020</v>
      </c>
      <c r="F569" s="85"/>
      <c r="G569" s="14"/>
      <c r="H569" s="14"/>
      <c r="I569" s="14"/>
      <c r="J569" s="14"/>
      <c r="K569" s="151"/>
    </row>
    <row r="570" spans="1:35" x14ac:dyDescent="0.2">
      <c r="A570" s="174"/>
      <c r="B570" s="176"/>
      <c r="C570" s="179"/>
      <c r="D570" s="180"/>
      <c r="E570" s="32" t="s">
        <v>18</v>
      </c>
      <c r="F570" s="86"/>
      <c r="G570" s="28"/>
      <c r="H570" s="28"/>
      <c r="I570" s="28"/>
      <c r="J570" s="28"/>
      <c r="K570" s="151"/>
    </row>
    <row r="571" spans="1:35" ht="26.25" thickBot="1" x14ac:dyDescent="0.25">
      <c r="A571" s="181" t="s">
        <v>199</v>
      </c>
      <c r="B571" s="182"/>
      <c r="C571" s="182"/>
      <c r="D571" s="182"/>
      <c r="E571" s="6" t="s">
        <v>61</v>
      </c>
      <c r="F571" s="17">
        <f>F563+F570</f>
        <v>1134.9000000000001</v>
      </c>
      <c r="G571" s="17"/>
      <c r="H571" s="17"/>
      <c r="I571" s="17">
        <f>I563+I570</f>
        <v>1134.9000000000001</v>
      </c>
      <c r="J571" s="19"/>
      <c r="K571" s="115"/>
    </row>
    <row r="572" spans="1:35" ht="18" customHeight="1" thickBot="1" x14ac:dyDescent="0.25">
      <c r="A572" s="183" t="s">
        <v>214</v>
      </c>
      <c r="B572" s="184"/>
      <c r="C572" s="184"/>
      <c r="D572" s="184"/>
      <c r="E572" s="184"/>
      <c r="F572" s="184"/>
      <c r="G572" s="184"/>
      <c r="H572" s="184"/>
      <c r="I572" s="184"/>
      <c r="J572" s="184"/>
      <c r="K572" s="185"/>
      <c r="L572" s="70"/>
      <c r="M572" s="70"/>
      <c r="N572" s="70"/>
      <c r="O572" s="70"/>
      <c r="P572" s="70"/>
      <c r="Q572" s="70"/>
      <c r="R572" s="70"/>
      <c r="S572" s="70"/>
      <c r="T572" s="70"/>
      <c r="U572" s="70"/>
      <c r="V572" s="70"/>
      <c r="W572" s="70"/>
      <c r="X572" s="70"/>
      <c r="Y572" s="70"/>
      <c r="Z572" s="70"/>
      <c r="AA572" s="70"/>
      <c r="AB572" s="70"/>
      <c r="AC572" s="70"/>
      <c r="AD572" s="70"/>
      <c r="AE572" s="70"/>
      <c r="AF572" s="70"/>
      <c r="AG572" s="70"/>
      <c r="AH572" s="70"/>
      <c r="AI572" s="71"/>
    </row>
    <row r="573" spans="1:35" ht="15" thickBot="1" x14ac:dyDescent="0.25">
      <c r="A573" s="187" t="s">
        <v>77</v>
      </c>
      <c r="B573" s="188"/>
      <c r="C573" s="188"/>
      <c r="D573" s="188"/>
      <c r="E573" s="188"/>
      <c r="F573" s="188"/>
      <c r="G573" s="188"/>
      <c r="H573" s="188"/>
      <c r="I573" s="188"/>
      <c r="J573" s="188"/>
      <c r="K573" s="189"/>
      <c r="L573" s="87"/>
      <c r="M573" s="87"/>
      <c r="N573" s="87"/>
      <c r="O573" s="87"/>
      <c r="P573" s="87"/>
      <c r="Q573" s="87"/>
      <c r="R573" s="87"/>
      <c r="S573" s="87"/>
      <c r="T573" s="87"/>
      <c r="U573" s="87"/>
      <c r="V573" s="87"/>
      <c r="W573" s="87"/>
      <c r="X573" s="87"/>
      <c r="Y573" s="87"/>
      <c r="Z573" s="87"/>
      <c r="AA573" s="87"/>
      <c r="AB573" s="87"/>
      <c r="AC573" s="87"/>
      <c r="AD573" s="87"/>
      <c r="AE573" s="87"/>
      <c r="AF573" s="87"/>
      <c r="AG573" s="87"/>
      <c r="AH573" s="87"/>
      <c r="AI573" s="88"/>
    </row>
    <row r="574" spans="1:35" x14ac:dyDescent="0.2">
      <c r="A574" s="386" t="s">
        <v>78</v>
      </c>
      <c r="B574" s="164" t="s">
        <v>98</v>
      </c>
      <c r="C574" s="155" t="s">
        <v>61</v>
      </c>
      <c r="D574" s="151" t="s">
        <v>222</v>
      </c>
      <c r="E574" s="149">
        <v>2015</v>
      </c>
      <c r="F574" s="116">
        <f t="shared" ref="F574:F579" si="52">SUM(G574:I574)</f>
        <v>5</v>
      </c>
      <c r="G574" s="12"/>
      <c r="H574" s="12"/>
      <c r="I574" s="12">
        <v>5</v>
      </c>
      <c r="J574" s="12"/>
      <c r="K574" s="151" t="s">
        <v>182</v>
      </c>
    </row>
    <row r="575" spans="1:35" x14ac:dyDescent="0.2">
      <c r="A575" s="173"/>
      <c r="B575" s="186"/>
      <c r="C575" s="355"/>
      <c r="D575" s="167"/>
      <c r="E575" s="141">
        <v>2016</v>
      </c>
      <c r="F575" s="79">
        <f t="shared" si="52"/>
        <v>6</v>
      </c>
      <c r="G575" s="14"/>
      <c r="H575" s="14"/>
      <c r="I575" s="14">
        <v>6</v>
      </c>
      <c r="J575" s="14"/>
      <c r="K575" s="151"/>
    </row>
    <row r="576" spans="1:35" x14ac:dyDescent="0.2">
      <c r="A576" s="173"/>
      <c r="B576" s="186"/>
      <c r="C576" s="355"/>
      <c r="D576" s="167"/>
      <c r="E576" s="141">
        <v>2017</v>
      </c>
      <c r="F576" s="79">
        <f t="shared" si="52"/>
        <v>5</v>
      </c>
      <c r="G576" s="14"/>
      <c r="H576" s="14"/>
      <c r="I576" s="14">
        <v>5</v>
      </c>
      <c r="J576" s="14"/>
      <c r="K576" s="151"/>
      <c r="L576" s="124" t="s">
        <v>255</v>
      </c>
    </row>
    <row r="577" spans="1:35" x14ac:dyDescent="0.2">
      <c r="A577" s="173"/>
      <c r="B577" s="186"/>
      <c r="C577" s="355"/>
      <c r="D577" s="167"/>
      <c r="E577" s="141">
        <v>2018</v>
      </c>
      <c r="F577" s="79">
        <f t="shared" si="52"/>
        <v>7</v>
      </c>
      <c r="G577" s="14"/>
      <c r="H577" s="14"/>
      <c r="I577" s="14">
        <v>7</v>
      </c>
      <c r="J577" s="14"/>
      <c r="K577" s="151"/>
      <c r="L577" s="124" t="s">
        <v>274</v>
      </c>
    </row>
    <row r="578" spans="1:35" x14ac:dyDescent="0.2">
      <c r="A578" s="173"/>
      <c r="B578" s="186"/>
      <c r="C578" s="355"/>
      <c r="D578" s="167"/>
      <c r="E578" s="141">
        <v>2019</v>
      </c>
      <c r="F578" s="79">
        <f t="shared" si="52"/>
        <v>7.5</v>
      </c>
      <c r="G578" s="14"/>
      <c r="H578" s="14"/>
      <c r="I578" s="14">
        <v>7.5</v>
      </c>
      <c r="J578" s="14"/>
      <c r="K578" s="151"/>
      <c r="L578" s="124" t="s">
        <v>274</v>
      </c>
    </row>
    <row r="579" spans="1:35" x14ac:dyDescent="0.2">
      <c r="A579" s="173"/>
      <c r="B579" s="186"/>
      <c r="C579" s="355"/>
      <c r="D579" s="167"/>
      <c r="E579" s="141">
        <v>2020</v>
      </c>
      <c r="F579" s="79">
        <f t="shared" si="52"/>
        <v>8</v>
      </c>
      <c r="G579" s="14"/>
      <c r="H579" s="14"/>
      <c r="I579" s="14">
        <v>8</v>
      </c>
      <c r="J579" s="14"/>
      <c r="K579" s="151"/>
    </row>
    <row r="580" spans="1:35" x14ac:dyDescent="0.2">
      <c r="A580" s="174"/>
      <c r="B580" s="193"/>
      <c r="C580" s="356"/>
      <c r="D580" s="180"/>
      <c r="E580" s="32" t="s">
        <v>18</v>
      </c>
      <c r="F580" s="89">
        <f>SUM(F574:F579)</f>
        <v>38.5</v>
      </c>
      <c r="G580" s="22"/>
      <c r="H580" s="22"/>
      <c r="I580" s="22">
        <f>SUM(I574:I579)</f>
        <v>38.5</v>
      </c>
      <c r="J580" s="28"/>
      <c r="K580" s="155"/>
    </row>
    <row r="581" spans="1:35" x14ac:dyDescent="0.2">
      <c r="A581" s="325" t="s">
        <v>80</v>
      </c>
      <c r="B581" s="165" t="s">
        <v>99</v>
      </c>
      <c r="C581" s="198" t="s">
        <v>61</v>
      </c>
      <c r="D581" s="154" t="s">
        <v>222</v>
      </c>
      <c r="E581" s="141">
        <v>2015</v>
      </c>
      <c r="F581" s="95">
        <f t="shared" ref="F581:F586" si="53">SUM(G581:I581)</f>
        <v>13.5</v>
      </c>
      <c r="G581" s="14"/>
      <c r="H581" s="14"/>
      <c r="I581" s="14">
        <v>13.5</v>
      </c>
      <c r="J581" s="14"/>
      <c r="K581" s="154" t="s">
        <v>182</v>
      </c>
    </row>
    <row r="582" spans="1:35" x14ac:dyDescent="0.2">
      <c r="A582" s="326"/>
      <c r="B582" s="186"/>
      <c r="C582" s="355"/>
      <c r="D582" s="167"/>
      <c r="E582" s="141">
        <v>2016</v>
      </c>
      <c r="F582" s="95">
        <f t="shared" si="53"/>
        <v>14</v>
      </c>
      <c r="G582" s="14"/>
      <c r="H582" s="14"/>
      <c r="I582" s="14">
        <v>14</v>
      </c>
      <c r="J582" s="14"/>
      <c r="K582" s="151"/>
    </row>
    <row r="583" spans="1:35" x14ac:dyDescent="0.2">
      <c r="A583" s="326"/>
      <c r="B583" s="186"/>
      <c r="C583" s="355"/>
      <c r="D583" s="167"/>
      <c r="E583" s="141">
        <v>2017</v>
      </c>
      <c r="F583" s="95">
        <f t="shared" si="53"/>
        <v>11.3</v>
      </c>
      <c r="G583" s="14"/>
      <c r="H583" s="14"/>
      <c r="I583" s="14">
        <f>14.5-3.2</f>
        <v>11.3</v>
      </c>
      <c r="J583" s="14"/>
      <c r="K583" s="151"/>
      <c r="L583" s="124" t="s">
        <v>256</v>
      </c>
    </row>
    <row r="584" spans="1:35" x14ac:dyDescent="0.2">
      <c r="A584" s="326"/>
      <c r="B584" s="186"/>
      <c r="C584" s="355"/>
      <c r="D584" s="167"/>
      <c r="E584" s="141">
        <v>2018</v>
      </c>
      <c r="F584" s="95">
        <f t="shared" si="53"/>
        <v>15</v>
      </c>
      <c r="G584" s="14"/>
      <c r="H584" s="14"/>
      <c r="I584" s="14">
        <v>15</v>
      </c>
      <c r="J584" s="14"/>
      <c r="K584" s="151"/>
      <c r="L584" s="124" t="s">
        <v>274</v>
      </c>
    </row>
    <row r="585" spans="1:35" x14ac:dyDescent="0.2">
      <c r="A585" s="326"/>
      <c r="B585" s="186"/>
      <c r="C585" s="355"/>
      <c r="D585" s="167"/>
      <c r="E585" s="141">
        <v>2019</v>
      </c>
      <c r="F585" s="95">
        <f t="shared" si="53"/>
        <v>15.5</v>
      </c>
      <c r="G585" s="14"/>
      <c r="H585" s="14"/>
      <c r="I585" s="14">
        <v>15.5</v>
      </c>
      <c r="J585" s="14"/>
      <c r="K585" s="151"/>
      <c r="L585" s="124" t="s">
        <v>274</v>
      </c>
    </row>
    <row r="586" spans="1:35" x14ac:dyDescent="0.2">
      <c r="A586" s="326"/>
      <c r="B586" s="186"/>
      <c r="C586" s="355"/>
      <c r="D586" s="167"/>
      <c r="E586" s="141">
        <v>2020</v>
      </c>
      <c r="F586" s="95">
        <f t="shared" si="53"/>
        <v>16</v>
      </c>
      <c r="G586" s="14"/>
      <c r="H586" s="14"/>
      <c r="I586" s="14">
        <v>16</v>
      </c>
      <c r="J586" s="14"/>
      <c r="K586" s="151"/>
    </row>
    <row r="587" spans="1:35" x14ac:dyDescent="0.2">
      <c r="A587" s="326"/>
      <c r="B587" s="186"/>
      <c r="C587" s="355"/>
      <c r="D587" s="180"/>
      <c r="E587" s="24" t="s">
        <v>18</v>
      </c>
      <c r="F587" s="20">
        <f>SUM(F581:F586)</f>
        <v>85.3</v>
      </c>
      <c r="G587" s="13"/>
      <c r="H587" s="13"/>
      <c r="I587" s="13">
        <f>SUM(I581:I586)</f>
        <v>85.3</v>
      </c>
      <c r="J587" s="14"/>
      <c r="K587" s="151"/>
    </row>
    <row r="588" spans="1:35" ht="26.25" thickBot="1" x14ac:dyDescent="0.25">
      <c r="A588" s="181" t="s">
        <v>201</v>
      </c>
      <c r="B588" s="182"/>
      <c r="C588" s="182"/>
      <c r="D588" s="182"/>
      <c r="E588" s="6" t="s">
        <v>61</v>
      </c>
      <c r="F588" s="17">
        <f>SUM(G588:I588)</f>
        <v>123.8</v>
      </c>
      <c r="G588" s="17"/>
      <c r="H588" s="17"/>
      <c r="I588" s="17">
        <f>I587+I580</f>
        <v>123.8</v>
      </c>
      <c r="J588" s="19"/>
      <c r="K588" s="150"/>
    </row>
    <row r="589" spans="1:35" ht="15" thickBot="1" x14ac:dyDescent="0.25">
      <c r="A589" s="243" t="s">
        <v>215</v>
      </c>
      <c r="B589" s="186"/>
      <c r="C589" s="186"/>
      <c r="D589" s="186"/>
      <c r="E589" s="186"/>
      <c r="F589" s="186"/>
      <c r="G589" s="186"/>
      <c r="H589" s="186"/>
      <c r="I589" s="186"/>
      <c r="J589" s="186"/>
      <c r="K589" s="186"/>
      <c r="L589" s="70"/>
      <c r="M589" s="70"/>
      <c r="N589" s="70"/>
      <c r="O589" s="70"/>
      <c r="P589" s="70"/>
      <c r="Q589" s="70"/>
      <c r="R589" s="70"/>
      <c r="S589" s="70"/>
      <c r="T589" s="70"/>
      <c r="U589" s="70"/>
      <c r="V589" s="70"/>
      <c r="W589" s="70"/>
      <c r="X589" s="70"/>
      <c r="Y589" s="70"/>
      <c r="Z589" s="70"/>
      <c r="AA589" s="70"/>
      <c r="AB589" s="70"/>
      <c r="AC589" s="70"/>
      <c r="AD589" s="70"/>
      <c r="AE589" s="70"/>
      <c r="AF589" s="70"/>
      <c r="AG589" s="70"/>
      <c r="AH589" s="70"/>
      <c r="AI589" s="71"/>
    </row>
    <row r="590" spans="1:35" ht="15" thickBot="1" x14ac:dyDescent="0.25">
      <c r="A590" s="243" t="s">
        <v>100</v>
      </c>
      <c r="B590" s="186"/>
      <c r="C590" s="186"/>
      <c r="D590" s="186"/>
      <c r="E590" s="186"/>
      <c r="F590" s="186"/>
      <c r="G590" s="186"/>
      <c r="H590" s="186"/>
      <c r="I590" s="186"/>
      <c r="J590" s="186"/>
      <c r="K590" s="186"/>
      <c r="L590" s="83"/>
      <c r="M590" s="83"/>
      <c r="N590" s="83"/>
      <c r="O590" s="83"/>
      <c r="P590" s="83"/>
      <c r="Q590" s="83"/>
      <c r="R590" s="83"/>
      <c r="S590" s="83"/>
      <c r="T590" s="83"/>
      <c r="U590" s="83"/>
      <c r="V590" s="83"/>
      <c r="W590" s="83"/>
      <c r="X590" s="83"/>
      <c r="Y590" s="83"/>
      <c r="Z590" s="83"/>
      <c r="AA590" s="83"/>
      <c r="AB590" s="83"/>
      <c r="AC590" s="83"/>
      <c r="AD590" s="83"/>
      <c r="AE590" s="83"/>
      <c r="AF590" s="83"/>
      <c r="AG590" s="83"/>
      <c r="AH590" s="83"/>
      <c r="AI590" s="84"/>
    </row>
    <row r="591" spans="1:35" ht="12.75" customHeight="1" x14ac:dyDescent="0.2">
      <c r="A591" s="334" t="s">
        <v>101</v>
      </c>
      <c r="B591" s="175" t="s">
        <v>229</v>
      </c>
      <c r="C591" s="198" t="s">
        <v>61</v>
      </c>
      <c r="D591" s="154" t="s">
        <v>222</v>
      </c>
      <c r="E591" s="141">
        <v>2015</v>
      </c>
      <c r="F591" s="79">
        <f t="shared" ref="F591:F596" si="54">SUM(G591:I591)</f>
        <v>230</v>
      </c>
      <c r="G591" s="14"/>
      <c r="H591" s="14"/>
      <c r="I591" s="14">
        <v>230</v>
      </c>
      <c r="J591" s="14"/>
      <c r="K591" s="154" t="s">
        <v>185</v>
      </c>
    </row>
    <row r="592" spans="1:35" x14ac:dyDescent="0.2">
      <c r="A592" s="335"/>
      <c r="B592" s="176"/>
      <c r="C592" s="355"/>
      <c r="D592" s="167"/>
      <c r="E592" s="141">
        <v>2016</v>
      </c>
      <c r="F592" s="79">
        <f t="shared" si="54"/>
        <v>245</v>
      </c>
      <c r="G592" s="14"/>
      <c r="H592" s="14"/>
      <c r="I592" s="14">
        <v>245</v>
      </c>
      <c r="J592" s="14"/>
      <c r="K592" s="151"/>
    </row>
    <row r="593" spans="1:12" x14ac:dyDescent="0.2">
      <c r="A593" s="335"/>
      <c r="B593" s="176"/>
      <c r="C593" s="355"/>
      <c r="D593" s="167"/>
      <c r="E593" s="141">
        <v>2017</v>
      </c>
      <c r="F593" s="79">
        <f t="shared" si="54"/>
        <v>210</v>
      </c>
      <c r="G593" s="14"/>
      <c r="H593" s="14"/>
      <c r="I593" s="14">
        <v>210</v>
      </c>
      <c r="J593" s="14"/>
      <c r="K593" s="151"/>
      <c r="L593" s="124" t="s">
        <v>255</v>
      </c>
    </row>
    <row r="594" spans="1:12" x14ac:dyDescent="0.2">
      <c r="A594" s="335"/>
      <c r="B594" s="176"/>
      <c r="C594" s="355"/>
      <c r="D594" s="167"/>
      <c r="E594" s="141">
        <v>2018</v>
      </c>
      <c r="F594" s="79">
        <f t="shared" si="54"/>
        <v>270</v>
      </c>
      <c r="G594" s="14"/>
      <c r="H594" s="14"/>
      <c r="I594" s="14">
        <v>270</v>
      </c>
      <c r="J594" s="14"/>
      <c r="K594" s="151"/>
      <c r="L594" s="124" t="s">
        <v>274</v>
      </c>
    </row>
    <row r="595" spans="1:12" x14ac:dyDescent="0.2">
      <c r="A595" s="335"/>
      <c r="B595" s="176"/>
      <c r="C595" s="355"/>
      <c r="D595" s="167"/>
      <c r="E595" s="141">
        <v>2019</v>
      </c>
      <c r="F595" s="79">
        <f t="shared" si="54"/>
        <v>290</v>
      </c>
      <c r="G595" s="14"/>
      <c r="H595" s="14"/>
      <c r="I595" s="14">
        <v>290</v>
      </c>
      <c r="J595" s="14"/>
      <c r="K595" s="151"/>
      <c r="L595" s="124" t="s">
        <v>274</v>
      </c>
    </row>
    <row r="596" spans="1:12" x14ac:dyDescent="0.2">
      <c r="A596" s="335"/>
      <c r="B596" s="176"/>
      <c r="C596" s="355"/>
      <c r="D596" s="167"/>
      <c r="E596" s="141">
        <v>2020</v>
      </c>
      <c r="F596" s="79">
        <f t="shared" si="54"/>
        <v>300</v>
      </c>
      <c r="G596" s="14"/>
      <c r="H596" s="14"/>
      <c r="I596" s="14">
        <v>300</v>
      </c>
      <c r="J596" s="14"/>
      <c r="K596" s="151"/>
    </row>
    <row r="597" spans="1:12" ht="13.5" thickBot="1" x14ac:dyDescent="0.25">
      <c r="A597" s="335"/>
      <c r="B597" s="354"/>
      <c r="C597" s="355"/>
      <c r="D597" s="180"/>
      <c r="E597" s="24" t="s">
        <v>18</v>
      </c>
      <c r="F597" s="21">
        <f>SUM(F591:F596)</f>
        <v>1545</v>
      </c>
      <c r="G597" s="13"/>
      <c r="H597" s="13"/>
      <c r="I597" s="13">
        <f>SUM(I591:I596)</f>
        <v>1545</v>
      </c>
      <c r="J597" s="14"/>
      <c r="K597" s="151"/>
    </row>
    <row r="598" spans="1:12" x14ac:dyDescent="0.2">
      <c r="A598" s="172" t="s">
        <v>343</v>
      </c>
      <c r="B598" s="175" t="s">
        <v>231</v>
      </c>
      <c r="C598" s="198" t="s">
        <v>61</v>
      </c>
      <c r="D598" s="154" t="s">
        <v>222</v>
      </c>
      <c r="E598" s="141">
        <v>2015</v>
      </c>
      <c r="F598" s="79">
        <f t="shared" ref="F598:F603" si="55">SUM(G598:I598)</f>
        <v>80</v>
      </c>
      <c r="G598" s="14"/>
      <c r="H598" s="14"/>
      <c r="I598" s="14">
        <v>80</v>
      </c>
      <c r="J598" s="14"/>
      <c r="K598" s="151"/>
    </row>
    <row r="599" spans="1:12" x14ac:dyDescent="0.2">
      <c r="A599" s="173"/>
      <c r="B599" s="176"/>
      <c r="C599" s="355"/>
      <c r="D599" s="167"/>
      <c r="E599" s="141">
        <v>2016</v>
      </c>
      <c r="F599" s="79">
        <f t="shared" si="55"/>
        <v>85</v>
      </c>
      <c r="G599" s="14"/>
      <c r="H599" s="14"/>
      <c r="I599" s="14">
        <v>85</v>
      </c>
      <c r="J599" s="14"/>
      <c r="K599" s="151"/>
    </row>
    <row r="600" spans="1:12" x14ac:dyDescent="0.2">
      <c r="A600" s="173"/>
      <c r="B600" s="176"/>
      <c r="C600" s="355"/>
      <c r="D600" s="167"/>
      <c r="E600" s="141">
        <v>2017</v>
      </c>
      <c r="F600" s="79">
        <f t="shared" si="55"/>
        <v>60</v>
      </c>
      <c r="G600" s="14"/>
      <c r="H600" s="14"/>
      <c r="I600" s="14">
        <v>60</v>
      </c>
      <c r="J600" s="14"/>
      <c r="K600" s="151"/>
      <c r="L600" s="124" t="s">
        <v>255</v>
      </c>
    </row>
    <row r="601" spans="1:12" x14ac:dyDescent="0.2">
      <c r="A601" s="173"/>
      <c r="B601" s="176"/>
      <c r="C601" s="355"/>
      <c r="D601" s="167"/>
      <c r="E601" s="141">
        <v>2018</v>
      </c>
      <c r="F601" s="79">
        <f t="shared" si="55"/>
        <v>95</v>
      </c>
      <c r="G601" s="14"/>
      <c r="H601" s="14"/>
      <c r="I601" s="14">
        <v>95</v>
      </c>
      <c r="J601" s="14"/>
      <c r="K601" s="151"/>
      <c r="L601" s="124" t="s">
        <v>274</v>
      </c>
    </row>
    <row r="602" spans="1:12" x14ac:dyDescent="0.2">
      <c r="A602" s="173"/>
      <c r="B602" s="176"/>
      <c r="C602" s="355"/>
      <c r="D602" s="167"/>
      <c r="E602" s="141">
        <v>2019</v>
      </c>
      <c r="F602" s="79">
        <f t="shared" si="55"/>
        <v>100</v>
      </c>
      <c r="G602" s="14"/>
      <c r="H602" s="14"/>
      <c r="I602" s="14">
        <v>100</v>
      </c>
      <c r="J602" s="14"/>
      <c r="K602" s="151"/>
      <c r="L602" s="124" t="s">
        <v>274</v>
      </c>
    </row>
    <row r="603" spans="1:12" x14ac:dyDescent="0.2">
      <c r="A603" s="173"/>
      <c r="B603" s="176"/>
      <c r="C603" s="355"/>
      <c r="D603" s="167"/>
      <c r="E603" s="141">
        <v>2020</v>
      </c>
      <c r="F603" s="79">
        <f t="shared" si="55"/>
        <v>110</v>
      </c>
      <c r="G603" s="14"/>
      <c r="H603" s="14"/>
      <c r="I603" s="14">
        <v>110</v>
      </c>
      <c r="J603" s="14"/>
      <c r="K603" s="151"/>
    </row>
    <row r="604" spans="1:12" ht="13.5" thickBot="1" x14ac:dyDescent="0.25">
      <c r="A604" s="173"/>
      <c r="B604" s="354"/>
      <c r="C604" s="355"/>
      <c r="D604" s="180"/>
      <c r="E604" s="24" t="s">
        <v>18</v>
      </c>
      <c r="F604" s="21">
        <f>SUM(F598:F603)</f>
        <v>530</v>
      </c>
      <c r="G604" s="13"/>
      <c r="H604" s="13"/>
      <c r="I604" s="13">
        <f>SUM(I598:I603)</f>
        <v>530</v>
      </c>
      <c r="J604" s="14"/>
      <c r="K604" s="155"/>
    </row>
    <row r="605" spans="1:12" x14ac:dyDescent="0.2">
      <c r="A605" s="172" t="s">
        <v>344</v>
      </c>
      <c r="B605" s="357" t="s">
        <v>230</v>
      </c>
      <c r="C605" s="198" t="s">
        <v>61</v>
      </c>
      <c r="D605" s="154" t="s">
        <v>222</v>
      </c>
      <c r="E605" s="141">
        <v>2015</v>
      </c>
      <c r="F605" s="79">
        <f t="shared" ref="F605:F610" si="56">SUM(G605:I605)</f>
        <v>47</v>
      </c>
      <c r="G605" s="14"/>
      <c r="H605" s="14"/>
      <c r="I605" s="14">
        <v>47</v>
      </c>
      <c r="J605" s="90"/>
      <c r="K605" s="154" t="s">
        <v>247</v>
      </c>
    </row>
    <row r="606" spans="1:12" x14ac:dyDescent="0.2">
      <c r="A606" s="173"/>
      <c r="B606" s="358"/>
      <c r="C606" s="355"/>
      <c r="D606" s="167"/>
      <c r="E606" s="141">
        <v>2016</v>
      </c>
      <c r="F606" s="79">
        <f t="shared" si="56"/>
        <v>50</v>
      </c>
      <c r="G606" s="14"/>
      <c r="H606" s="14"/>
      <c r="I606" s="14">
        <v>50</v>
      </c>
      <c r="J606" s="90"/>
      <c r="K606" s="151"/>
    </row>
    <row r="607" spans="1:12" x14ac:dyDescent="0.2">
      <c r="A607" s="173"/>
      <c r="B607" s="358"/>
      <c r="C607" s="355"/>
      <c r="D607" s="167"/>
      <c r="E607" s="141">
        <v>2017</v>
      </c>
      <c r="F607" s="79">
        <f t="shared" si="56"/>
        <v>40</v>
      </c>
      <c r="G607" s="14"/>
      <c r="H607" s="14"/>
      <c r="I607" s="14">
        <v>40</v>
      </c>
      <c r="J607" s="90"/>
      <c r="K607" s="151"/>
      <c r="L607" s="124" t="s">
        <v>255</v>
      </c>
    </row>
    <row r="608" spans="1:12" x14ac:dyDescent="0.2">
      <c r="A608" s="173"/>
      <c r="B608" s="358"/>
      <c r="C608" s="355"/>
      <c r="D608" s="167"/>
      <c r="E608" s="141">
        <v>2018</v>
      </c>
      <c r="F608" s="79">
        <f t="shared" si="56"/>
        <v>56</v>
      </c>
      <c r="G608" s="14"/>
      <c r="H608" s="14"/>
      <c r="I608" s="14">
        <v>56</v>
      </c>
      <c r="J608" s="90"/>
      <c r="K608" s="151"/>
      <c r="L608" s="124" t="s">
        <v>274</v>
      </c>
    </row>
    <row r="609" spans="1:12" x14ac:dyDescent="0.2">
      <c r="A609" s="173"/>
      <c r="B609" s="358"/>
      <c r="C609" s="355"/>
      <c r="D609" s="167"/>
      <c r="E609" s="141">
        <v>2019</v>
      </c>
      <c r="F609" s="79">
        <f t="shared" si="56"/>
        <v>59</v>
      </c>
      <c r="G609" s="14"/>
      <c r="H609" s="14"/>
      <c r="I609" s="14">
        <v>59</v>
      </c>
      <c r="J609" s="90"/>
      <c r="K609" s="151"/>
      <c r="L609" s="124" t="s">
        <v>274</v>
      </c>
    </row>
    <row r="610" spans="1:12" x14ac:dyDescent="0.2">
      <c r="A610" s="173"/>
      <c r="B610" s="358"/>
      <c r="C610" s="355"/>
      <c r="D610" s="167"/>
      <c r="E610" s="141">
        <v>2020</v>
      </c>
      <c r="F610" s="79">
        <f t="shared" si="56"/>
        <v>62</v>
      </c>
      <c r="G610" s="14"/>
      <c r="H610" s="14"/>
      <c r="I610" s="14">
        <v>62</v>
      </c>
      <c r="J610" s="90"/>
      <c r="K610" s="151"/>
    </row>
    <row r="611" spans="1:12" ht="13.5" thickBot="1" x14ac:dyDescent="0.25">
      <c r="A611" s="173"/>
      <c r="B611" s="359"/>
      <c r="C611" s="355"/>
      <c r="D611" s="180"/>
      <c r="E611" s="24" t="s">
        <v>18</v>
      </c>
      <c r="F611" s="21">
        <f>SUM(F605:F610)</f>
        <v>314</v>
      </c>
      <c r="G611" s="14"/>
      <c r="H611" s="14"/>
      <c r="I611" s="13">
        <f>SUM(I605:I610)</f>
        <v>314</v>
      </c>
      <c r="J611" s="90"/>
      <c r="K611" s="151"/>
    </row>
    <row r="612" spans="1:12" x14ac:dyDescent="0.2">
      <c r="A612" s="172" t="s">
        <v>345</v>
      </c>
      <c r="B612" s="175" t="s">
        <v>102</v>
      </c>
      <c r="C612" s="198" t="s">
        <v>61</v>
      </c>
      <c r="D612" s="154" t="s">
        <v>222</v>
      </c>
      <c r="E612" s="141">
        <v>2015</v>
      </c>
      <c r="F612" s="79">
        <f t="shared" ref="F612:F617" si="57">SUM(G612:I612)</f>
        <v>40.6</v>
      </c>
      <c r="G612" s="14"/>
      <c r="H612" s="14"/>
      <c r="I612" s="14">
        <v>40.6</v>
      </c>
      <c r="J612" s="14"/>
      <c r="K612" s="151"/>
    </row>
    <row r="613" spans="1:12" x14ac:dyDescent="0.2">
      <c r="A613" s="173"/>
      <c r="B613" s="176"/>
      <c r="C613" s="355"/>
      <c r="D613" s="167"/>
      <c r="E613" s="141">
        <v>2016</v>
      </c>
      <c r="F613" s="79">
        <f t="shared" si="57"/>
        <v>50</v>
      </c>
      <c r="G613" s="14"/>
      <c r="H613" s="14"/>
      <c r="I613" s="14">
        <v>50</v>
      </c>
      <c r="J613" s="14"/>
      <c r="K613" s="151"/>
    </row>
    <row r="614" spans="1:12" x14ac:dyDescent="0.2">
      <c r="A614" s="173"/>
      <c r="B614" s="176"/>
      <c r="C614" s="355"/>
      <c r="D614" s="167"/>
      <c r="E614" s="141">
        <v>2017</v>
      </c>
      <c r="F614" s="79">
        <f t="shared" si="57"/>
        <v>40</v>
      </c>
      <c r="G614" s="14"/>
      <c r="H614" s="14"/>
      <c r="I614" s="14">
        <v>40</v>
      </c>
      <c r="J614" s="14"/>
      <c r="K614" s="151"/>
      <c r="L614" s="124" t="s">
        <v>255</v>
      </c>
    </row>
    <row r="615" spans="1:12" x14ac:dyDescent="0.2">
      <c r="A615" s="173"/>
      <c r="B615" s="176"/>
      <c r="C615" s="355"/>
      <c r="D615" s="167"/>
      <c r="E615" s="141">
        <v>2018</v>
      </c>
      <c r="F615" s="79">
        <f t="shared" si="57"/>
        <v>54</v>
      </c>
      <c r="G615" s="14"/>
      <c r="H615" s="14"/>
      <c r="I615" s="14">
        <v>54</v>
      </c>
      <c r="J615" s="14"/>
      <c r="K615" s="151"/>
      <c r="L615" s="124" t="s">
        <v>274</v>
      </c>
    </row>
    <row r="616" spans="1:12" x14ac:dyDescent="0.2">
      <c r="A616" s="173"/>
      <c r="B616" s="176"/>
      <c r="C616" s="355"/>
      <c r="D616" s="167"/>
      <c r="E616" s="141">
        <v>2019</v>
      </c>
      <c r="F616" s="79">
        <f t="shared" si="57"/>
        <v>56</v>
      </c>
      <c r="G616" s="14"/>
      <c r="H616" s="14"/>
      <c r="I616" s="14">
        <v>56</v>
      </c>
      <c r="J616" s="14"/>
      <c r="K616" s="151"/>
      <c r="L616" s="124" t="s">
        <v>274</v>
      </c>
    </row>
    <row r="617" spans="1:12" x14ac:dyDescent="0.2">
      <c r="A617" s="173"/>
      <c r="B617" s="176"/>
      <c r="C617" s="355"/>
      <c r="D617" s="167"/>
      <c r="E617" s="141">
        <v>2020</v>
      </c>
      <c r="F617" s="79">
        <f t="shared" si="57"/>
        <v>58</v>
      </c>
      <c r="G617" s="14"/>
      <c r="H617" s="14"/>
      <c r="I617" s="14">
        <v>58</v>
      </c>
      <c r="J617" s="14"/>
      <c r="K617" s="151"/>
    </row>
    <row r="618" spans="1:12" ht="13.5" thickBot="1" x14ac:dyDescent="0.25">
      <c r="A618" s="173"/>
      <c r="B618" s="354"/>
      <c r="C618" s="355"/>
      <c r="D618" s="180"/>
      <c r="E618" s="24" t="s">
        <v>18</v>
      </c>
      <c r="F618" s="21">
        <f>SUM(F612:F617)</f>
        <v>298.60000000000002</v>
      </c>
      <c r="G618" s="13"/>
      <c r="H618" s="13"/>
      <c r="I618" s="13">
        <f>SUM(I612:I617)</f>
        <v>298.60000000000002</v>
      </c>
      <c r="J618" s="14"/>
      <c r="K618" s="151"/>
    </row>
    <row r="619" spans="1:12" x14ac:dyDescent="0.2">
      <c r="A619" s="172" t="s">
        <v>346</v>
      </c>
      <c r="B619" s="175" t="s">
        <v>103</v>
      </c>
      <c r="C619" s="198" t="s">
        <v>61</v>
      </c>
      <c r="D619" s="154" t="s">
        <v>222</v>
      </c>
      <c r="E619" s="141">
        <v>2015</v>
      </c>
      <c r="F619" s="79">
        <f t="shared" ref="F619:F624" si="58">SUM(G619:I619)</f>
        <v>5.0999999999999996</v>
      </c>
      <c r="G619" s="14"/>
      <c r="H619" s="14"/>
      <c r="I619" s="14">
        <v>5.0999999999999996</v>
      </c>
      <c r="J619" s="14"/>
      <c r="K619" s="151"/>
    </row>
    <row r="620" spans="1:12" x14ac:dyDescent="0.2">
      <c r="A620" s="173"/>
      <c r="B620" s="176"/>
      <c r="C620" s="355"/>
      <c r="D620" s="167"/>
      <c r="E620" s="141">
        <v>2016</v>
      </c>
      <c r="F620" s="79">
        <f t="shared" si="58"/>
        <v>5.3</v>
      </c>
      <c r="G620" s="14"/>
      <c r="H620" s="14"/>
      <c r="I620" s="14">
        <v>5.3</v>
      </c>
      <c r="J620" s="14"/>
      <c r="K620" s="151"/>
    </row>
    <row r="621" spans="1:12" x14ac:dyDescent="0.2">
      <c r="A621" s="173"/>
      <c r="B621" s="176"/>
      <c r="C621" s="355"/>
      <c r="D621" s="167"/>
      <c r="E621" s="141">
        <v>2017</v>
      </c>
      <c r="F621" s="79">
        <f t="shared" si="58"/>
        <v>5</v>
      </c>
      <c r="G621" s="14"/>
      <c r="H621" s="14"/>
      <c r="I621" s="14">
        <v>5</v>
      </c>
      <c r="J621" s="14"/>
      <c r="K621" s="151"/>
      <c r="L621" s="124" t="s">
        <v>255</v>
      </c>
    </row>
    <row r="622" spans="1:12" x14ac:dyDescent="0.2">
      <c r="A622" s="173"/>
      <c r="B622" s="176"/>
      <c r="C622" s="355"/>
      <c r="D622" s="167"/>
      <c r="E622" s="141">
        <v>2018</v>
      </c>
      <c r="F622" s="79">
        <f t="shared" si="58"/>
        <v>5.7</v>
      </c>
      <c r="G622" s="14"/>
      <c r="H622" s="14"/>
      <c r="I622" s="14">
        <v>5.7</v>
      </c>
      <c r="J622" s="14"/>
      <c r="K622" s="151"/>
      <c r="L622" s="124" t="s">
        <v>274</v>
      </c>
    </row>
    <row r="623" spans="1:12" x14ac:dyDescent="0.2">
      <c r="A623" s="173"/>
      <c r="B623" s="176"/>
      <c r="C623" s="355"/>
      <c r="D623" s="167"/>
      <c r="E623" s="141">
        <v>2019</v>
      </c>
      <c r="F623" s="79">
        <f t="shared" si="58"/>
        <v>5.9</v>
      </c>
      <c r="G623" s="14"/>
      <c r="H623" s="14"/>
      <c r="I623" s="14">
        <v>5.9</v>
      </c>
      <c r="J623" s="14"/>
      <c r="K623" s="151"/>
      <c r="L623" s="124" t="s">
        <v>274</v>
      </c>
    </row>
    <row r="624" spans="1:12" x14ac:dyDescent="0.2">
      <c r="A624" s="173"/>
      <c r="B624" s="176"/>
      <c r="C624" s="355"/>
      <c r="D624" s="167"/>
      <c r="E624" s="141">
        <v>2020</v>
      </c>
      <c r="F624" s="79">
        <f t="shared" si="58"/>
        <v>6.1</v>
      </c>
      <c r="G624" s="14"/>
      <c r="H624" s="14"/>
      <c r="I624" s="14">
        <v>6.1</v>
      </c>
      <c r="J624" s="14"/>
      <c r="K624" s="151"/>
    </row>
    <row r="625" spans="1:12" ht="13.5" thickBot="1" x14ac:dyDescent="0.25">
      <c r="A625" s="173"/>
      <c r="B625" s="354"/>
      <c r="C625" s="356"/>
      <c r="D625" s="180"/>
      <c r="E625" s="24" t="s">
        <v>18</v>
      </c>
      <c r="F625" s="21">
        <f>SUM(F619:F624)</f>
        <v>33.1</v>
      </c>
      <c r="G625" s="13"/>
      <c r="H625" s="13"/>
      <c r="I625" s="13">
        <f>SUM(I619:I624)</f>
        <v>33.1</v>
      </c>
      <c r="J625" s="14"/>
      <c r="K625" s="151"/>
    </row>
    <row r="626" spans="1:12" x14ac:dyDescent="0.2">
      <c r="A626" s="172" t="s">
        <v>347</v>
      </c>
      <c r="B626" s="175" t="s">
        <v>104</v>
      </c>
      <c r="C626" s="198" t="s">
        <v>61</v>
      </c>
      <c r="D626" s="154" t="s">
        <v>222</v>
      </c>
      <c r="E626" s="141">
        <v>2015</v>
      </c>
      <c r="F626" s="79">
        <f t="shared" ref="F626:F631" si="59">SUM(G626:I626)</f>
        <v>4.5</v>
      </c>
      <c r="G626" s="14"/>
      <c r="H626" s="14"/>
      <c r="I626" s="14">
        <v>4.5</v>
      </c>
      <c r="J626" s="14"/>
      <c r="K626" s="151"/>
    </row>
    <row r="627" spans="1:12" x14ac:dyDescent="0.2">
      <c r="A627" s="173"/>
      <c r="B627" s="176"/>
      <c r="C627" s="355"/>
      <c r="D627" s="167"/>
      <c r="E627" s="141">
        <v>2016</v>
      </c>
      <c r="F627" s="79">
        <f t="shared" si="59"/>
        <v>4.5999999999999996</v>
      </c>
      <c r="G627" s="14"/>
      <c r="H627" s="14"/>
      <c r="I627" s="14">
        <v>4.5999999999999996</v>
      </c>
      <c r="J627" s="14"/>
      <c r="K627" s="151"/>
    </row>
    <row r="628" spans="1:12" x14ac:dyDescent="0.2">
      <c r="A628" s="173"/>
      <c r="B628" s="176"/>
      <c r="C628" s="355"/>
      <c r="D628" s="167"/>
      <c r="E628" s="141">
        <v>2017</v>
      </c>
      <c r="F628" s="79">
        <f t="shared" si="59"/>
        <v>4</v>
      </c>
      <c r="G628" s="14"/>
      <c r="H628" s="14"/>
      <c r="I628" s="14">
        <v>4</v>
      </c>
      <c r="J628" s="14"/>
      <c r="K628" s="151"/>
      <c r="L628" s="124" t="s">
        <v>255</v>
      </c>
    </row>
    <row r="629" spans="1:12" x14ac:dyDescent="0.2">
      <c r="A629" s="173"/>
      <c r="B629" s="176"/>
      <c r="C629" s="355"/>
      <c r="D629" s="167"/>
      <c r="E629" s="141">
        <v>2018</v>
      </c>
      <c r="F629" s="79">
        <f t="shared" si="59"/>
        <v>4.8</v>
      </c>
      <c r="G629" s="14"/>
      <c r="H629" s="14"/>
      <c r="I629" s="14">
        <v>4.8</v>
      </c>
      <c r="J629" s="14"/>
      <c r="K629" s="151"/>
      <c r="L629" s="124" t="s">
        <v>274</v>
      </c>
    </row>
    <row r="630" spans="1:12" x14ac:dyDescent="0.2">
      <c r="A630" s="173"/>
      <c r="B630" s="176"/>
      <c r="C630" s="355"/>
      <c r="D630" s="167"/>
      <c r="E630" s="141">
        <v>2019</v>
      </c>
      <c r="F630" s="79">
        <f t="shared" si="59"/>
        <v>4.9000000000000004</v>
      </c>
      <c r="G630" s="14"/>
      <c r="H630" s="14"/>
      <c r="I630" s="14">
        <v>4.9000000000000004</v>
      </c>
      <c r="J630" s="14"/>
      <c r="K630" s="151"/>
      <c r="L630" s="124" t="s">
        <v>274</v>
      </c>
    </row>
    <row r="631" spans="1:12" x14ac:dyDescent="0.2">
      <c r="A631" s="173"/>
      <c r="B631" s="176"/>
      <c r="C631" s="355"/>
      <c r="D631" s="167"/>
      <c r="E631" s="141">
        <v>2020</v>
      </c>
      <c r="F631" s="79">
        <f t="shared" si="59"/>
        <v>5</v>
      </c>
      <c r="G631" s="14"/>
      <c r="H631" s="14"/>
      <c r="I631" s="14">
        <v>5</v>
      </c>
      <c r="J631" s="14"/>
      <c r="K631" s="151"/>
    </row>
    <row r="632" spans="1:12" ht="13.5" thickBot="1" x14ac:dyDescent="0.25">
      <c r="A632" s="173"/>
      <c r="B632" s="354"/>
      <c r="C632" s="356"/>
      <c r="D632" s="180"/>
      <c r="E632" s="24" t="s">
        <v>18</v>
      </c>
      <c r="F632" s="21">
        <f>SUM(F626:F631)</f>
        <v>27.799999999999997</v>
      </c>
      <c r="G632" s="13"/>
      <c r="H632" s="13"/>
      <c r="I632" s="13">
        <f>SUM(I626:I631)</f>
        <v>27.799999999999997</v>
      </c>
      <c r="J632" s="14"/>
      <c r="K632" s="155"/>
    </row>
    <row r="633" spans="1:12" x14ac:dyDescent="0.2">
      <c r="A633" s="172" t="s">
        <v>348</v>
      </c>
      <c r="B633" s="175" t="s">
        <v>0</v>
      </c>
      <c r="C633" s="198" t="s">
        <v>61</v>
      </c>
      <c r="D633" s="154" t="s">
        <v>222</v>
      </c>
      <c r="E633" s="141">
        <v>2015</v>
      </c>
      <c r="F633" s="80"/>
      <c r="G633" s="2"/>
      <c r="H633" s="2"/>
      <c r="I633" s="2"/>
      <c r="J633" s="2"/>
      <c r="K633" s="154" t="s">
        <v>186</v>
      </c>
    </row>
    <row r="634" spans="1:12" x14ac:dyDescent="0.2">
      <c r="A634" s="173"/>
      <c r="B634" s="176"/>
      <c r="C634" s="355"/>
      <c r="D634" s="167"/>
      <c r="E634" s="141">
        <v>2016</v>
      </c>
      <c r="F634" s="80"/>
      <c r="G634" s="2"/>
      <c r="H634" s="2"/>
      <c r="I634" s="2"/>
      <c r="J634" s="2"/>
      <c r="K634" s="151"/>
    </row>
    <row r="635" spans="1:12" x14ac:dyDescent="0.2">
      <c r="A635" s="173"/>
      <c r="B635" s="176"/>
      <c r="C635" s="355"/>
      <c r="D635" s="167"/>
      <c r="E635" s="141">
        <v>2017</v>
      </c>
      <c r="F635" s="80"/>
      <c r="G635" s="2"/>
      <c r="H635" s="2"/>
      <c r="I635" s="2"/>
      <c r="J635" s="2"/>
      <c r="K635" s="151"/>
    </row>
    <row r="636" spans="1:12" x14ac:dyDescent="0.2">
      <c r="A636" s="173"/>
      <c r="B636" s="176"/>
      <c r="C636" s="355"/>
      <c r="D636" s="167"/>
      <c r="E636" s="141">
        <v>2018</v>
      </c>
      <c r="F636" s="80"/>
      <c r="G636" s="2"/>
      <c r="H636" s="2"/>
      <c r="I636" s="2"/>
      <c r="J636" s="2"/>
      <c r="K636" s="151"/>
    </row>
    <row r="637" spans="1:12" x14ac:dyDescent="0.2">
      <c r="A637" s="173"/>
      <c r="B637" s="176"/>
      <c r="C637" s="355"/>
      <c r="D637" s="167"/>
      <c r="E637" s="141">
        <v>2019</v>
      </c>
      <c r="F637" s="80"/>
      <c r="G637" s="2"/>
      <c r="H637" s="2"/>
      <c r="I637" s="2"/>
      <c r="J637" s="2"/>
      <c r="K637" s="151"/>
    </row>
    <row r="638" spans="1:12" x14ac:dyDescent="0.2">
      <c r="A638" s="173"/>
      <c r="B638" s="176"/>
      <c r="C638" s="355"/>
      <c r="D638" s="167"/>
      <c r="E638" s="141">
        <v>2020</v>
      </c>
      <c r="F638" s="80"/>
      <c r="G638" s="2"/>
      <c r="H638" s="2"/>
      <c r="I638" s="2"/>
      <c r="J638" s="2"/>
      <c r="K638" s="151"/>
    </row>
    <row r="639" spans="1:12" x14ac:dyDescent="0.2">
      <c r="A639" s="174"/>
      <c r="B639" s="176"/>
      <c r="C639" s="356"/>
      <c r="D639" s="180"/>
      <c r="E639" s="24" t="s">
        <v>18</v>
      </c>
      <c r="F639" s="80"/>
      <c r="G639" s="2"/>
      <c r="H639" s="2"/>
      <c r="I639" s="2"/>
      <c r="J639" s="2"/>
      <c r="K639" s="155"/>
    </row>
    <row r="640" spans="1:12" ht="25.5" x14ac:dyDescent="0.2">
      <c r="A640" s="195" t="s">
        <v>203</v>
      </c>
      <c r="B640" s="203"/>
      <c r="C640" s="203"/>
      <c r="D640" s="203"/>
      <c r="E640" s="61" t="s">
        <v>61</v>
      </c>
      <c r="F640" s="20">
        <f>SUM(G640:I640)</f>
        <v>2748.5</v>
      </c>
      <c r="G640" s="20"/>
      <c r="H640" s="20"/>
      <c r="I640" s="20">
        <f>I632+I625+I618+I611+I604+I597</f>
        <v>2748.5</v>
      </c>
      <c r="J640" s="18"/>
      <c r="K640" s="91"/>
    </row>
    <row r="641" spans="1:35" ht="47.25" x14ac:dyDescent="0.25">
      <c r="A641" s="273" t="s">
        <v>216</v>
      </c>
      <c r="B641" s="348"/>
      <c r="C641" s="348"/>
      <c r="D641" s="349"/>
      <c r="E641" s="103" t="s">
        <v>61</v>
      </c>
      <c r="F641" s="103" t="s">
        <v>18</v>
      </c>
      <c r="G641" s="104" t="s">
        <v>10</v>
      </c>
      <c r="H641" s="140" t="s">
        <v>11</v>
      </c>
      <c r="I641" s="140" t="s">
        <v>12</v>
      </c>
      <c r="J641" s="140" t="s">
        <v>13</v>
      </c>
      <c r="K641" s="58"/>
    </row>
    <row r="642" spans="1:35" ht="16.5" thickBot="1" x14ac:dyDescent="0.3">
      <c r="A642" s="136"/>
      <c r="B642" s="145"/>
      <c r="C642" s="145"/>
      <c r="D642" s="145"/>
      <c r="E642" s="105"/>
      <c r="F642" s="23">
        <f>SUM(G642:J642)</f>
        <v>73607.100000000006</v>
      </c>
      <c r="G642" s="23"/>
      <c r="H642" s="11">
        <f>H523</f>
        <v>66961.5</v>
      </c>
      <c r="I642" s="11">
        <f>I640+I588+I571+I554+I523</f>
        <v>6645.6</v>
      </c>
      <c r="J642" s="92"/>
      <c r="K642" s="58"/>
      <c r="L642" s="34"/>
      <c r="M642" s="34"/>
      <c r="N642" s="34"/>
      <c r="O642" s="34"/>
      <c r="P642" s="34"/>
      <c r="Q642" s="34"/>
      <c r="R642" s="34"/>
      <c r="S642" s="34"/>
      <c r="T642" s="34"/>
      <c r="U642" s="34"/>
      <c r="V642" s="34"/>
    </row>
    <row r="643" spans="1:35" ht="18" x14ac:dyDescent="0.2">
      <c r="A643" s="308" t="s">
        <v>234</v>
      </c>
      <c r="B643" s="309"/>
      <c r="C643" s="309"/>
      <c r="D643" s="309"/>
      <c r="E643" s="309"/>
      <c r="F643" s="309"/>
      <c r="G643" s="309"/>
      <c r="H643" s="309"/>
      <c r="I643" s="309"/>
      <c r="J643" s="309"/>
      <c r="K643" s="309"/>
      <c r="L643" s="47"/>
      <c r="M643" s="47"/>
      <c r="N643" s="47"/>
      <c r="O643" s="47"/>
      <c r="P643" s="47"/>
      <c r="Q643" s="47"/>
      <c r="R643" s="47"/>
      <c r="S643" s="47"/>
      <c r="T643" s="47"/>
      <c r="U643" s="47"/>
      <c r="V643" s="47"/>
      <c r="W643" s="45"/>
      <c r="X643" s="45"/>
      <c r="Y643" s="45"/>
      <c r="Z643" s="45"/>
      <c r="AA643" s="45"/>
      <c r="AB643" s="45"/>
      <c r="AC643" s="45"/>
      <c r="AD643" s="45"/>
      <c r="AE643" s="45"/>
      <c r="AF643" s="45"/>
      <c r="AG643" s="45"/>
      <c r="AH643" s="45"/>
      <c r="AI643" s="46"/>
    </row>
    <row r="644" spans="1:35" ht="16.5" thickBot="1" x14ac:dyDescent="0.25">
      <c r="A644" s="377" t="s">
        <v>217</v>
      </c>
      <c r="B644" s="378"/>
      <c r="C644" s="378"/>
      <c r="D644" s="378"/>
      <c r="E644" s="328"/>
      <c r="F644" s="328"/>
      <c r="G644" s="328"/>
      <c r="H644" s="328"/>
      <c r="I644" s="328"/>
      <c r="J644" s="328"/>
      <c r="K644" s="328"/>
      <c r="L644" s="64"/>
      <c r="M644" s="64"/>
      <c r="N644" s="64"/>
      <c r="O644" s="64"/>
      <c r="P644" s="64"/>
      <c r="Q644" s="64"/>
      <c r="R644" s="64"/>
      <c r="S644" s="64"/>
      <c r="T644" s="64"/>
      <c r="U644" s="64"/>
      <c r="V644" s="64"/>
      <c r="W644" s="93"/>
      <c r="X644" s="93"/>
      <c r="Y644" s="93"/>
      <c r="Z644" s="93"/>
      <c r="AA644" s="93"/>
      <c r="AB644" s="93"/>
      <c r="AC644" s="93"/>
      <c r="AD644" s="93"/>
      <c r="AE644" s="93"/>
      <c r="AF644" s="93"/>
      <c r="AG644" s="93"/>
      <c r="AH644" s="93"/>
      <c r="AI644" s="94"/>
    </row>
    <row r="645" spans="1:35" x14ac:dyDescent="0.2">
      <c r="A645" s="325" t="s">
        <v>105</v>
      </c>
      <c r="B645" s="384" t="s">
        <v>106</v>
      </c>
      <c r="C645" s="177" t="s">
        <v>61</v>
      </c>
      <c r="D645" s="154" t="s">
        <v>222</v>
      </c>
      <c r="E645" s="141">
        <v>2015</v>
      </c>
      <c r="F645" s="95">
        <f t="shared" ref="F645:F650" si="60">SUM(G645:J645)</f>
        <v>4484.7</v>
      </c>
      <c r="G645" s="14"/>
      <c r="H645" s="14"/>
      <c r="I645" s="14">
        <v>4092.2</v>
      </c>
      <c r="J645" s="14">
        <v>392.5</v>
      </c>
      <c r="K645" s="154" t="s">
        <v>183</v>
      </c>
      <c r="L645" s="34"/>
      <c r="M645" s="34"/>
      <c r="N645" s="34"/>
      <c r="O645" s="34"/>
      <c r="P645" s="34"/>
      <c r="Q645" s="34"/>
      <c r="R645" s="34"/>
      <c r="S645" s="34"/>
      <c r="T645" s="34"/>
      <c r="U645" s="34"/>
      <c r="V645" s="34"/>
    </row>
    <row r="646" spans="1:35" x14ac:dyDescent="0.2">
      <c r="A646" s="326"/>
      <c r="B646" s="385"/>
      <c r="C646" s="178"/>
      <c r="D646" s="167"/>
      <c r="E646" s="141">
        <v>2016</v>
      </c>
      <c r="F646" s="95">
        <f t="shared" si="60"/>
        <v>4690</v>
      </c>
      <c r="G646" s="14"/>
      <c r="H646" s="14"/>
      <c r="I646" s="14">
        <f>3801.5+222.3-0.4</f>
        <v>4023.4</v>
      </c>
      <c r="J646" s="14">
        <f>58.3+608.3</f>
        <v>666.59999999999991</v>
      </c>
      <c r="K646" s="151"/>
      <c r="L646" s="34"/>
      <c r="M646" s="34"/>
      <c r="N646" s="34"/>
      <c r="O646" s="34"/>
      <c r="P646" s="34"/>
      <c r="Q646" s="34"/>
      <c r="R646" s="34"/>
      <c r="S646" s="34"/>
      <c r="T646" s="34"/>
      <c r="U646" s="34"/>
      <c r="V646" s="34"/>
    </row>
    <row r="647" spans="1:35" x14ac:dyDescent="0.2">
      <c r="A647" s="326"/>
      <c r="B647" s="385"/>
      <c r="C647" s="178"/>
      <c r="D647" s="167"/>
      <c r="E647" s="141">
        <v>2017</v>
      </c>
      <c r="F647" s="95">
        <f t="shared" si="60"/>
        <v>5079.5</v>
      </c>
      <c r="G647" s="14"/>
      <c r="H647" s="14"/>
      <c r="I647" s="14">
        <v>4386.7</v>
      </c>
      <c r="J647" s="14">
        <v>692.8</v>
      </c>
      <c r="K647" s="151"/>
      <c r="L647" s="124" t="s">
        <v>274</v>
      </c>
    </row>
    <row r="648" spans="1:35" x14ac:dyDescent="0.2">
      <c r="A648" s="326"/>
      <c r="B648" s="385"/>
      <c r="C648" s="178"/>
      <c r="D648" s="167"/>
      <c r="E648" s="141">
        <v>2018</v>
      </c>
      <c r="F648" s="95">
        <f t="shared" si="60"/>
        <v>327</v>
      </c>
      <c r="G648" s="14"/>
      <c r="H648" s="14"/>
      <c r="I648" s="14">
        <v>262.7</v>
      </c>
      <c r="J648" s="14">
        <v>64.3</v>
      </c>
      <c r="K648" s="151"/>
      <c r="L648" s="124" t="s">
        <v>274</v>
      </c>
    </row>
    <row r="649" spans="1:35" x14ac:dyDescent="0.2">
      <c r="A649" s="326"/>
      <c r="B649" s="385"/>
      <c r="C649" s="178"/>
      <c r="D649" s="167"/>
      <c r="E649" s="141">
        <v>2019</v>
      </c>
      <c r="F649" s="95">
        <f t="shared" si="60"/>
        <v>343.3</v>
      </c>
      <c r="G649" s="14"/>
      <c r="H649" s="14"/>
      <c r="I649" s="14">
        <v>275.8</v>
      </c>
      <c r="J649" s="14">
        <v>67.5</v>
      </c>
      <c r="K649" s="151"/>
      <c r="L649" s="124" t="s">
        <v>274</v>
      </c>
    </row>
    <row r="650" spans="1:35" x14ac:dyDescent="0.2">
      <c r="A650" s="326"/>
      <c r="B650" s="385"/>
      <c r="C650" s="178"/>
      <c r="D650" s="167"/>
      <c r="E650" s="141">
        <v>2020</v>
      </c>
      <c r="F650" s="95">
        <f t="shared" si="60"/>
        <v>360.5</v>
      </c>
      <c r="G650" s="14"/>
      <c r="H650" s="14"/>
      <c r="I650" s="14">
        <v>289.60000000000002</v>
      </c>
      <c r="J650" s="14">
        <v>70.900000000000006</v>
      </c>
      <c r="K650" s="151"/>
    </row>
    <row r="651" spans="1:35" ht="13.5" thickBot="1" x14ac:dyDescent="0.25">
      <c r="A651" s="326"/>
      <c r="B651" s="385"/>
      <c r="C651" s="178"/>
      <c r="D651" s="180"/>
      <c r="E651" s="24" t="s">
        <v>18</v>
      </c>
      <c r="F651" s="20">
        <f>SUM(F645:F650)</f>
        <v>15285</v>
      </c>
      <c r="G651" s="20">
        <f>SUM(G645:G650)</f>
        <v>0</v>
      </c>
      <c r="H651" s="20">
        <f>SUM(H645:H650)</f>
        <v>0</v>
      </c>
      <c r="I651" s="20">
        <f>SUM(I645:I650)</f>
        <v>13330.4</v>
      </c>
      <c r="J651" s="20">
        <f>SUM(J645:J650)</f>
        <v>1954.6</v>
      </c>
      <c r="K651" s="151"/>
    </row>
    <row r="652" spans="1:35" x14ac:dyDescent="0.2">
      <c r="A652" s="379" t="s">
        <v>107</v>
      </c>
      <c r="B652" s="382" t="s">
        <v>108</v>
      </c>
      <c r="C652" s="177" t="s">
        <v>61</v>
      </c>
      <c r="D652" s="154" t="s">
        <v>222</v>
      </c>
      <c r="E652" s="141">
        <v>2015</v>
      </c>
      <c r="F652" s="95">
        <f t="shared" ref="F652:F657" si="61">SUM(G652:J652)</f>
        <v>448.20000000000005</v>
      </c>
      <c r="G652" s="14"/>
      <c r="H652" s="14"/>
      <c r="I652" s="14">
        <v>251.4</v>
      </c>
      <c r="J652" s="14">
        <v>196.8</v>
      </c>
      <c r="K652" s="151"/>
    </row>
    <row r="653" spans="1:35" x14ac:dyDescent="0.2">
      <c r="A653" s="380"/>
      <c r="B653" s="383"/>
      <c r="C653" s="178"/>
      <c r="D653" s="167"/>
      <c r="E653" s="141">
        <v>2016</v>
      </c>
      <c r="F653" s="95">
        <f t="shared" si="61"/>
        <v>478.19999999999993</v>
      </c>
      <c r="G653" s="14"/>
      <c r="H653" s="14"/>
      <c r="I653" s="14">
        <f>414.2-142.9</f>
        <v>271.29999999999995</v>
      </c>
      <c r="J653" s="14">
        <f>206.6+0.3</f>
        <v>206.9</v>
      </c>
      <c r="K653" s="151"/>
    </row>
    <row r="654" spans="1:35" x14ac:dyDescent="0.2">
      <c r="A654" s="380"/>
      <c r="B654" s="383"/>
      <c r="C654" s="178"/>
      <c r="D654" s="167"/>
      <c r="E654" s="141">
        <v>2017</v>
      </c>
      <c r="F654" s="95">
        <f t="shared" si="61"/>
        <v>465.79999999999995</v>
      </c>
      <c r="G654" s="14"/>
      <c r="H654" s="14"/>
      <c r="I654" s="14">
        <v>355.7</v>
      </c>
      <c r="J654" s="14">
        <v>110.1</v>
      </c>
      <c r="K654" s="151"/>
      <c r="L654" s="124" t="s">
        <v>274</v>
      </c>
    </row>
    <row r="655" spans="1:35" x14ac:dyDescent="0.2">
      <c r="A655" s="380"/>
      <c r="B655" s="383"/>
      <c r="C655" s="178"/>
      <c r="D655" s="167"/>
      <c r="E655" s="141">
        <v>2018</v>
      </c>
      <c r="F655" s="95">
        <f t="shared" si="61"/>
        <v>706.2</v>
      </c>
      <c r="G655" s="14"/>
      <c r="H655" s="14"/>
      <c r="I655" s="14">
        <v>478.5</v>
      </c>
      <c r="J655" s="14">
        <v>227.7</v>
      </c>
      <c r="K655" s="151"/>
      <c r="L655" s="124" t="s">
        <v>274</v>
      </c>
    </row>
    <row r="656" spans="1:35" x14ac:dyDescent="0.2">
      <c r="A656" s="380"/>
      <c r="B656" s="383"/>
      <c r="C656" s="178"/>
      <c r="D656" s="167"/>
      <c r="E656" s="141">
        <v>2019</v>
      </c>
      <c r="F656" s="95">
        <f t="shared" si="61"/>
        <v>741.5</v>
      </c>
      <c r="G656" s="14"/>
      <c r="H656" s="14"/>
      <c r="I656" s="14">
        <v>502.4</v>
      </c>
      <c r="J656" s="14">
        <v>239.1</v>
      </c>
      <c r="K656" s="151"/>
      <c r="L656" s="124" t="s">
        <v>274</v>
      </c>
    </row>
    <row r="657" spans="1:14" x14ac:dyDescent="0.2">
      <c r="A657" s="380"/>
      <c r="B657" s="383"/>
      <c r="C657" s="178"/>
      <c r="D657" s="167"/>
      <c r="E657" s="141">
        <v>2020</v>
      </c>
      <c r="F657" s="95">
        <f t="shared" si="61"/>
        <v>778.5</v>
      </c>
      <c r="G657" s="14"/>
      <c r="H657" s="14"/>
      <c r="I657" s="14">
        <v>527.5</v>
      </c>
      <c r="J657" s="14">
        <v>251</v>
      </c>
      <c r="K657" s="151"/>
    </row>
    <row r="658" spans="1:14" ht="13.5" thickBot="1" x14ac:dyDescent="0.25">
      <c r="A658" s="381"/>
      <c r="B658" s="383"/>
      <c r="C658" s="179"/>
      <c r="D658" s="180"/>
      <c r="E658" s="24" t="s">
        <v>18</v>
      </c>
      <c r="F658" s="20">
        <f>SUM(F652:F657)</f>
        <v>3618.3999999999996</v>
      </c>
      <c r="G658" s="20">
        <f>SUM(G652:G657)</f>
        <v>0</v>
      </c>
      <c r="H658" s="20">
        <f>SUM(H652:H657)</f>
        <v>0</v>
      </c>
      <c r="I658" s="20">
        <f>SUM(I652:I657)</f>
        <v>2386.7999999999997</v>
      </c>
      <c r="J658" s="20">
        <f>SUM(J652:J657)</f>
        <v>1231.5999999999999</v>
      </c>
      <c r="K658" s="151"/>
    </row>
    <row r="659" spans="1:14" x14ac:dyDescent="0.2">
      <c r="A659" s="374" t="s">
        <v>109</v>
      </c>
      <c r="B659" s="218" t="s">
        <v>317</v>
      </c>
      <c r="C659" s="177" t="s">
        <v>61</v>
      </c>
      <c r="D659" s="154" t="s">
        <v>222</v>
      </c>
      <c r="E659" s="141">
        <v>2015</v>
      </c>
      <c r="F659" s="95">
        <f t="shared" ref="F659:F664" si="62">SUM(G659:J659)</f>
        <v>402.69999999999993</v>
      </c>
      <c r="G659" s="14"/>
      <c r="H659" s="14"/>
      <c r="I659" s="14">
        <f>344.4+6.9</f>
        <v>351.29999999999995</v>
      </c>
      <c r="J659" s="14">
        <v>51.4</v>
      </c>
      <c r="K659" s="151"/>
    </row>
    <row r="660" spans="1:14" x14ac:dyDescent="0.2">
      <c r="A660" s="375"/>
      <c r="B660" s="218"/>
      <c r="C660" s="178"/>
      <c r="D660" s="167"/>
      <c r="E660" s="141">
        <v>2016</v>
      </c>
      <c r="F660" s="95">
        <f t="shared" si="62"/>
        <v>681.2</v>
      </c>
      <c r="G660" s="14"/>
      <c r="H660" s="14"/>
      <c r="I660" s="14">
        <f>363.3+262.6</f>
        <v>625.90000000000009</v>
      </c>
      <c r="J660" s="14">
        <f>54+1.3</f>
        <v>55.3</v>
      </c>
      <c r="K660" s="151"/>
    </row>
    <row r="661" spans="1:14" x14ac:dyDescent="0.2">
      <c r="A661" s="375"/>
      <c r="B661" s="218"/>
      <c r="C661" s="178"/>
      <c r="D661" s="167"/>
      <c r="E661" s="141">
        <v>2017</v>
      </c>
      <c r="F661" s="95">
        <f t="shared" si="62"/>
        <v>847.90000000000009</v>
      </c>
      <c r="G661" s="14"/>
      <c r="H661" s="14"/>
      <c r="I661" s="14">
        <v>678.1</v>
      </c>
      <c r="J661" s="14">
        <v>169.8</v>
      </c>
      <c r="K661" s="151"/>
      <c r="L661" s="124" t="s">
        <v>274</v>
      </c>
    </row>
    <row r="662" spans="1:14" x14ac:dyDescent="0.2">
      <c r="A662" s="375"/>
      <c r="B662" s="218"/>
      <c r="C662" s="178"/>
      <c r="D662" s="167"/>
      <c r="E662" s="141">
        <v>2018</v>
      </c>
      <c r="F662" s="95">
        <f t="shared" si="62"/>
        <v>453</v>
      </c>
      <c r="G662" s="14"/>
      <c r="H662" s="14"/>
      <c r="I662" s="14">
        <v>393.5</v>
      </c>
      <c r="J662" s="14">
        <v>59.5</v>
      </c>
      <c r="K662" s="151"/>
      <c r="L662" s="124" t="s">
        <v>274</v>
      </c>
    </row>
    <row r="663" spans="1:14" x14ac:dyDescent="0.2">
      <c r="A663" s="375"/>
      <c r="B663" s="218"/>
      <c r="C663" s="178"/>
      <c r="D663" s="167"/>
      <c r="E663" s="141">
        <v>2019</v>
      </c>
      <c r="F663" s="95">
        <f t="shared" si="62"/>
        <v>475.7</v>
      </c>
      <c r="G663" s="14"/>
      <c r="H663" s="14"/>
      <c r="I663" s="14">
        <v>413.2</v>
      </c>
      <c r="J663" s="14">
        <v>62.5</v>
      </c>
      <c r="K663" s="151"/>
      <c r="L663" s="124" t="s">
        <v>274</v>
      </c>
    </row>
    <row r="664" spans="1:14" x14ac:dyDescent="0.2">
      <c r="A664" s="375"/>
      <c r="B664" s="218"/>
      <c r="C664" s="178"/>
      <c r="D664" s="167"/>
      <c r="E664" s="141">
        <v>2020</v>
      </c>
      <c r="F664" s="95">
        <f t="shared" si="62"/>
        <v>492.7</v>
      </c>
      <c r="G664" s="14"/>
      <c r="H664" s="14"/>
      <c r="I664" s="14">
        <f>433.9-6.9</f>
        <v>427</v>
      </c>
      <c r="J664" s="14">
        <v>65.7</v>
      </c>
      <c r="K664" s="151"/>
    </row>
    <row r="665" spans="1:14" ht="13.5" thickBot="1" x14ac:dyDescent="0.25">
      <c r="A665" s="376"/>
      <c r="B665" s="218"/>
      <c r="C665" s="178"/>
      <c r="D665" s="180"/>
      <c r="E665" s="24" t="s">
        <v>18</v>
      </c>
      <c r="F665" s="20">
        <f>SUM(F659:F664)</f>
        <v>3353.2</v>
      </c>
      <c r="G665" s="20">
        <f>SUM(G659:G664)</f>
        <v>0</v>
      </c>
      <c r="H665" s="20">
        <f>SUM(H659:H664)</f>
        <v>0</v>
      </c>
      <c r="I665" s="20">
        <f>SUM(I659:I664)</f>
        <v>2889</v>
      </c>
      <c r="J665" s="20">
        <f>SUM(J659:J664)</f>
        <v>464.2</v>
      </c>
      <c r="K665" s="151"/>
    </row>
    <row r="666" spans="1:14" x14ac:dyDescent="0.2">
      <c r="A666" s="374" t="s">
        <v>110</v>
      </c>
      <c r="B666" s="175" t="s">
        <v>111</v>
      </c>
      <c r="C666" s="177" t="s">
        <v>61</v>
      </c>
      <c r="D666" s="154" t="s">
        <v>222</v>
      </c>
      <c r="E666" s="141">
        <v>2015</v>
      </c>
      <c r="F666" s="95">
        <f t="shared" ref="F666:F671" si="63">SUM(G666:J666)</f>
        <v>2265.3000000000002</v>
      </c>
      <c r="G666" s="14"/>
      <c r="H666" s="14"/>
      <c r="I666" s="14">
        <v>2265.3000000000002</v>
      </c>
      <c r="J666" s="14"/>
      <c r="K666" s="151"/>
    </row>
    <row r="667" spans="1:14" x14ac:dyDescent="0.2">
      <c r="A667" s="375"/>
      <c r="B667" s="176"/>
      <c r="C667" s="178"/>
      <c r="D667" s="167"/>
      <c r="E667" s="141">
        <v>2016</v>
      </c>
      <c r="F667" s="95">
        <f t="shared" si="63"/>
        <v>2244.6999999999998</v>
      </c>
      <c r="G667" s="14"/>
      <c r="H667" s="14"/>
      <c r="I667" s="14">
        <f>2295.7-51</f>
        <v>2244.6999999999998</v>
      </c>
      <c r="J667" s="14"/>
      <c r="K667" s="151"/>
    </row>
    <row r="668" spans="1:14" x14ac:dyDescent="0.2">
      <c r="A668" s="375"/>
      <c r="B668" s="176"/>
      <c r="C668" s="178"/>
      <c r="D668" s="167"/>
      <c r="E668" s="141">
        <v>2017</v>
      </c>
      <c r="F668" s="95">
        <f t="shared" si="63"/>
        <v>2244.8000000000002</v>
      </c>
      <c r="G668" s="14"/>
      <c r="H668" s="14"/>
      <c r="I668" s="14">
        <v>2244.8000000000002</v>
      </c>
      <c r="J668" s="14"/>
      <c r="K668" s="151"/>
      <c r="L668" s="124" t="s">
        <v>256</v>
      </c>
      <c r="N668" s="131"/>
    </row>
    <row r="669" spans="1:14" x14ac:dyDescent="0.2">
      <c r="A669" s="375"/>
      <c r="B669" s="176"/>
      <c r="C669" s="178"/>
      <c r="D669" s="167"/>
      <c r="E669" s="141">
        <v>2018</v>
      </c>
      <c r="F669" s="95">
        <f t="shared" si="63"/>
        <v>2703.3</v>
      </c>
      <c r="G669" s="14"/>
      <c r="H669" s="14"/>
      <c r="I669" s="14">
        <v>2703.3</v>
      </c>
      <c r="J669" s="14"/>
      <c r="K669" s="151"/>
      <c r="L669" s="124" t="s">
        <v>274</v>
      </c>
    </row>
    <row r="670" spans="1:14" x14ac:dyDescent="0.2">
      <c r="A670" s="375"/>
      <c r="B670" s="176"/>
      <c r="C670" s="178"/>
      <c r="D670" s="167"/>
      <c r="E670" s="141">
        <v>2019</v>
      </c>
      <c r="F670" s="95">
        <f t="shared" si="63"/>
        <v>2841.6</v>
      </c>
      <c r="G670" s="14"/>
      <c r="H670" s="14"/>
      <c r="I670" s="14">
        <v>2841.6</v>
      </c>
      <c r="J670" s="14"/>
      <c r="K670" s="151"/>
      <c r="L670" s="124" t="s">
        <v>274</v>
      </c>
    </row>
    <row r="671" spans="1:14" x14ac:dyDescent="0.2">
      <c r="A671" s="375"/>
      <c r="B671" s="176"/>
      <c r="C671" s="178"/>
      <c r="D671" s="167"/>
      <c r="E671" s="141">
        <v>2020</v>
      </c>
      <c r="F671" s="95">
        <f t="shared" si="63"/>
        <v>2990.4</v>
      </c>
      <c r="G671" s="14"/>
      <c r="H671" s="14"/>
      <c r="I671" s="14">
        <v>2990.4</v>
      </c>
      <c r="J671" s="14"/>
      <c r="K671" s="151"/>
    </row>
    <row r="672" spans="1:14" ht="13.5" thickBot="1" x14ac:dyDescent="0.25">
      <c r="A672" s="376"/>
      <c r="B672" s="354"/>
      <c r="C672" s="178"/>
      <c r="D672" s="180"/>
      <c r="E672" s="24" t="s">
        <v>18</v>
      </c>
      <c r="F672" s="20">
        <f>SUM(F666:F671)</f>
        <v>15290.1</v>
      </c>
      <c r="G672" s="20">
        <f>SUM(G666:G671)</f>
        <v>0</v>
      </c>
      <c r="H672" s="20">
        <f>SUM(H666:H671)</f>
        <v>0</v>
      </c>
      <c r="I672" s="20">
        <f>SUM(I666:I671)</f>
        <v>15290.1</v>
      </c>
      <c r="J672" s="95">
        <f>SUM(J666:J671)</f>
        <v>0</v>
      </c>
      <c r="K672" s="155"/>
    </row>
    <row r="673" spans="1:12" ht="25.5" x14ac:dyDescent="0.2">
      <c r="A673" s="195" t="s">
        <v>208</v>
      </c>
      <c r="B673" s="203"/>
      <c r="C673" s="203"/>
      <c r="D673" s="203"/>
      <c r="E673" s="61" t="s">
        <v>61</v>
      </c>
      <c r="F673" s="20">
        <f>F672+F665+F658+F651</f>
        <v>37546.699999999997</v>
      </c>
      <c r="G673" s="20">
        <f>G672+G665+G658+G651</f>
        <v>0</v>
      </c>
      <c r="H673" s="20">
        <f>H672+H665+H658+H651</f>
        <v>0</v>
      </c>
      <c r="I673" s="20">
        <f>I672+I665+I658+I651</f>
        <v>33896.299999999996</v>
      </c>
      <c r="J673" s="20">
        <f>J672+J665+J658+J651</f>
        <v>3650.3999999999996</v>
      </c>
      <c r="K673" s="91"/>
    </row>
    <row r="674" spans="1:12" ht="15.75" customHeight="1" thickBot="1" x14ac:dyDescent="0.25">
      <c r="A674" s="373" t="s">
        <v>238</v>
      </c>
      <c r="B674" s="328"/>
      <c r="C674" s="328"/>
      <c r="D674" s="328"/>
      <c r="E674" s="328"/>
      <c r="F674" s="328"/>
      <c r="G674" s="328"/>
      <c r="H674" s="328"/>
      <c r="I674" s="328"/>
      <c r="J674" s="328"/>
      <c r="K674" s="328"/>
    </row>
    <row r="675" spans="1:12" x14ac:dyDescent="0.2">
      <c r="A675" s="374" t="s">
        <v>112</v>
      </c>
      <c r="B675" s="175" t="s">
        <v>113</v>
      </c>
      <c r="C675" s="194" t="s">
        <v>61</v>
      </c>
      <c r="D675" s="154" t="s">
        <v>222</v>
      </c>
      <c r="E675" s="141">
        <v>2015</v>
      </c>
      <c r="F675" s="95">
        <f t="shared" ref="F675:F680" si="64">SUM(G675:I675)</f>
        <v>2070.1</v>
      </c>
      <c r="G675" s="14"/>
      <c r="H675" s="14"/>
      <c r="I675" s="14">
        <v>2070.1</v>
      </c>
      <c r="J675" s="14"/>
      <c r="K675" s="154" t="s">
        <v>1</v>
      </c>
    </row>
    <row r="676" spans="1:12" x14ac:dyDescent="0.2">
      <c r="A676" s="375"/>
      <c r="B676" s="176"/>
      <c r="C676" s="167"/>
      <c r="D676" s="167"/>
      <c r="E676" s="141">
        <v>2016</v>
      </c>
      <c r="F676" s="95">
        <f t="shared" si="64"/>
        <v>2173.6</v>
      </c>
      <c r="G676" s="14"/>
      <c r="H676" s="14"/>
      <c r="I676" s="14">
        <v>2173.6</v>
      </c>
      <c r="J676" s="14"/>
      <c r="K676" s="151"/>
    </row>
    <row r="677" spans="1:12" x14ac:dyDescent="0.2">
      <c r="A677" s="375"/>
      <c r="B677" s="176"/>
      <c r="C677" s="167"/>
      <c r="D677" s="167"/>
      <c r="E677" s="141">
        <v>2017</v>
      </c>
      <c r="F677" s="95">
        <f t="shared" si="64"/>
        <v>2282.3000000000002</v>
      </c>
      <c r="G677" s="14"/>
      <c r="H677" s="14"/>
      <c r="I677" s="14">
        <v>2282.3000000000002</v>
      </c>
      <c r="J677" s="14"/>
      <c r="K677" s="151"/>
      <c r="L677" s="124" t="s">
        <v>274</v>
      </c>
    </row>
    <row r="678" spans="1:12" x14ac:dyDescent="0.2">
      <c r="A678" s="375"/>
      <c r="B678" s="176"/>
      <c r="C678" s="167"/>
      <c r="D678" s="167"/>
      <c r="E678" s="141">
        <v>2018</v>
      </c>
      <c r="F678" s="95">
        <f t="shared" si="64"/>
        <v>2396.4</v>
      </c>
      <c r="G678" s="14"/>
      <c r="H678" s="14"/>
      <c r="I678" s="14">
        <v>2396.4</v>
      </c>
      <c r="J678" s="14"/>
      <c r="K678" s="151"/>
      <c r="L678" s="124" t="s">
        <v>274</v>
      </c>
    </row>
    <row r="679" spans="1:12" x14ac:dyDescent="0.2">
      <c r="A679" s="375"/>
      <c r="B679" s="176"/>
      <c r="C679" s="167"/>
      <c r="D679" s="167"/>
      <c r="E679" s="141">
        <v>2019</v>
      </c>
      <c r="F679" s="95">
        <f t="shared" si="64"/>
        <v>2516.1999999999998</v>
      </c>
      <c r="G679" s="14"/>
      <c r="H679" s="14"/>
      <c r="I679" s="14">
        <v>2516.1999999999998</v>
      </c>
      <c r="J679" s="14"/>
      <c r="K679" s="151"/>
      <c r="L679" s="124" t="s">
        <v>274</v>
      </c>
    </row>
    <row r="680" spans="1:12" x14ac:dyDescent="0.2">
      <c r="A680" s="375"/>
      <c r="B680" s="176"/>
      <c r="C680" s="167"/>
      <c r="D680" s="167"/>
      <c r="E680" s="141">
        <v>2020</v>
      </c>
      <c r="F680" s="95">
        <f t="shared" si="64"/>
        <v>2642.1</v>
      </c>
      <c r="G680" s="14"/>
      <c r="H680" s="14"/>
      <c r="I680" s="14">
        <v>2642.1</v>
      </c>
      <c r="J680" s="14"/>
      <c r="K680" s="151"/>
    </row>
    <row r="681" spans="1:12" ht="13.5" thickBot="1" x14ac:dyDescent="0.25">
      <c r="A681" s="376"/>
      <c r="B681" s="354"/>
      <c r="C681" s="180"/>
      <c r="D681" s="180"/>
      <c r="E681" s="24" t="s">
        <v>18</v>
      </c>
      <c r="F681" s="20">
        <f>SUM(F675:F680)</f>
        <v>14080.699999999999</v>
      </c>
      <c r="G681" s="13"/>
      <c r="H681" s="13"/>
      <c r="I681" s="13">
        <f>SUM(I675:I680)</f>
        <v>14080.699999999999</v>
      </c>
      <c r="J681" s="13"/>
      <c r="K681" s="155"/>
    </row>
    <row r="682" spans="1:12" ht="25.5" x14ac:dyDescent="0.2">
      <c r="A682" s="195" t="s">
        <v>211</v>
      </c>
      <c r="B682" s="203"/>
      <c r="C682" s="203"/>
      <c r="D682" s="203"/>
      <c r="E682" s="61" t="s">
        <v>61</v>
      </c>
      <c r="F682" s="20">
        <f>F681</f>
        <v>14080.699999999999</v>
      </c>
      <c r="G682" s="20">
        <f>G681</f>
        <v>0</v>
      </c>
      <c r="H682" s="20">
        <f>H681</f>
        <v>0</v>
      </c>
      <c r="I682" s="20">
        <f>I681</f>
        <v>14080.699999999999</v>
      </c>
      <c r="J682" s="18"/>
      <c r="K682" s="91"/>
    </row>
    <row r="683" spans="1:12" ht="47.25" x14ac:dyDescent="0.25">
      <c r="A683" s="273" t="s">
        <v>218</v>
      </c>
      <c r="B683" s="348"/>
      <c r="C683" s="348"/>
      <c r="D683" s="349"/>
      <c r="E683" s="103" t="s">
        <v>61</v>
      </c>
      <c r="F683" s="103" t="s">
        <v>18</v>
      </c>
      <c r="G683" s="104" t="s">
        <v>10</v>
      </c>
      <c r="H683" s="140" t="s">
        <v>11</v>
      </c>
      <c r="I683" s="140" t="s">
        <v>12</v>
      </c>
      <c r="J683" s="140" t="s">
        <v>13</v>
      </c>
      <c r="K683" s="58"/>
    </row>
    <row r="684" spans="1:12" ht="15.75" x14ac:dyDescent="0.25">
      <c r="A684" s="361"/>
      <c r="B684" s="362"/>
      <c r="C684" s="362"/>
      <c r="D684" s="363"/>
      <c r="E684" s="105"/>
      <c r="F684" s="23">
        <f>F682+F673</f>
        <v>51627.399999999994</v>
      </c>
      <c r="G684" s="23">
        <f>G682+G673</f>
        <v>0</v>
      </c>
      <c r="H684" s="23">
        <f>H682+H673</f>
        <v>0</v>
      </c>
      <c r="I684" s="23">
        <f>I682+I673</f>
        <v>47976.999999999993</v>
      </c>
      <c r="J684" s="23">
        <f>J682+J673</f>
        <v>3650.3999999999996</v>
      </c>
      <c r="K684" s="58"/>
    </row>
    <row r="685" spans="1:12" ht="47.25" x14ac:dyDescent="0.25">
      <c r="A685" s="364" t="s">
        <v>114</v>
      </c>
      <c r="B685" s="365"/>
      <c r="C685" s="365"/>
      <c r="D685" s="366"/>
      <c r="E685" s="103" t="s">
        <v>129</v>
      </c>
      <c r="F685" s="103" t="s">
        <v>18</v>
      </c>
      <c r="G685" s="104" t="s">
        <v>10</v>
      </c>
      <c r="H685" s="140" t="s">
        <v>11</v>
      </c>
      <c r="I685" s="140" t="s">
        <v>12</v>
      </c>
      <c r="J685" s="140" t="s">
        <v>13</v>
      </c>
      <c r="K685" s="58"/>
    </row>
    <row r="686" spans="1:12" x14ac:dyDescent="0.2">
      <c r="A686" s="367"/>
      <c r="B686" s="368"/>
      <c r="C686" s="368"/>
      <c r="D686" s="369"/>
      <c r="E686" s="141">
        <v>2015</v>
      </c>
      <c r="F686" s="95">
        <f t="shared" ref="F686:F691" si="65">SUM(H686:J686)</f>
        <v>1157693.2999999998</v>
      </c>
      <c r="G686" s="14"/>
      <c r="H686" s="14">
        <f>H675+H666+H659+H652+H645+H633+H626+H619+H612+H605+H598+H591+H581+H574+H564+H557+H547+H540+H533+H526+H516+H509+H502+H495+H483+H473+H466+H459+H452+H442+H427+H409+H402+H395+H388+H380+H371+H359+H350+H336+H309+H302+H295+H273+H260+H240+H226+H213+H207+H200+H193+H148+H141+H105+H81+H53+H39+H32+H23+H16</f>
        <v>986489.1</v>
      </c>
      <c r="I686" s="14">
        <f>I16+I23+I32+I39+I53+I60+I67+I81+I97+I105+I115+I125+I132+I141+I148+I155+I162+I193+I200+I213+I226+I240+I260+I273+I285+I295+I302+I309+I336+I350+I359+I371+I380+I388+I395+I402+I427+I442+I452+I459+I466+I473+I483+I495+I502+I509+I516+I526+I533+I540+I547+I557+I564+I574+I581+I591+I598+I605+I612+I619+I626+I633+I645+I652+I659+I666+I675+I409+I434</f>
        <v>170563.49999999997</v>
      </c>
      <c r="J686" s="14">
        <f t="shared" ref="J686:J691" si="66">J16+J23+J32+J39+J53+J60+J67+J81+J97+J105+J115+J125+J132+J141+J148+J155+J162+J193+J200+J213+J226+J240+J260+J273+J285+J295+J302+J309+J336+J350+J359+J371+J380+J388+J395+J402+J427+J442+J452+J459+J466+J473+J483+J495+J502+J509+J516+J526+J533+J540+J547+J557+J564+J574+J581+J591+J598+J605+J612+J619+J626+J633+J645+J652+J659+J666+J675</f>
        <v>640.69999999999993</v>
      </c>
      <c r="K686" s="360"/>
    </row>
    <row r="687" spans="1:12" x14ac:dyDescent="0.2">
      <c r="A687" s="367"/>
      <c r="B687" s="368"/>
      <c r="C687" s="368"/>
      <c r="D687" s="369"/>
      <c r="E687" s="141">
        <v>2016</v>
      </c>
      <c r="F687" s="95">
        <f t="shared" si="65"/>
        <v>1134983.6000000001</v>
      </c>
      <c r="G687" s="14"/>
      <c r="H687" s="14">
        <f>H17+H24+H33+H40+H54+H61+H68+H82+H98+H106+H116+H126+H133+H142+H149+H156+H163+H194+H201+H214+H227+H241+H261+H274+H286+H296+H303+H310+H337+H351+H360+H372+H381+H389+H396+H403+H428+H443+H453+H460+H467+H474+H484+H496+H503+H510+H517+H527+H534+H541+H548+H558+H565+H575+H582+H592+H599+H606+H613+H620+H627+H634+H646+H653+H660+H667+H676+H317+H183+H46+H220+H323</f>
        <v>934993.5</v>
      </c>
      <c r="I687" s="14">
        <f>I17+I24+I33+I40+I54+I61+I68+I82+I98+I106+I116+I126+I133+I142+I149+I156+I163+I194+I201+I214+I227+I241+I261+I274+I286+I296+I303+I310+I337+I351+I360+I372+I381+I389+I396+I403+I428+I443+I453+I460+I467+I474+I484+I496+I503+I510+I517+I527+I534+I541+I548+I558+I565+I575+I582+I592+I599+I606+I613+I620+I627+I634+I646+I653+I660+I667+I676+I435+I416+I233+I89+I317+I220+I46+I323</f>
        <v>199061.29999999996</v>
      </c>
      <c r="J687" s="14">
        <f t="shared" si="66"/>
        <v>928.79999999999984</v>
      </c>
      <c r="K687" s="360"/>
    </row>
    <row r="688" spans="1:12" x14ac:dyDescent="0.2">
      <c r="A688" s="367"/>
      <c r="B688" s="368"/>
      <c r="C688" s="368"/>
      <c r="D688" s="369"/>
      <c r="E688" s="141">
        <v>2017</v>
      </c>
      <c r="F688" s="95">
        <f t="shared" si="65"/>
        <v>1210938.0499999998</v>
      </c>
      <c r="G688" s="14"/>
      <c r="H688" s="14">
        <f>H18+H25+H34+H41+H55+H62+H69+H83+H99+H107+H117+H127+H134+H143+H150+H157+H164+H195+H202+H215+H228+H242+H262+H275+H287+H297+H304+H311+H338+H352+H361+H373+H382+H390+H397+H404+H429+H444+H454+H461+H468+H475+H485+H497+H504+H511+H518+H528+H535+H542+H549+H559+H566+H576+H583+H593+H600+H607+H614+H621+H628+H635+H647+H654+H661+H668+H677+H221+H223+H184+H329+H280+H267+H252+H74+H49</f>
        <v>977817.79999999993</v>
      </c>
      <c r="I688" s="14">
        <f>I18+I25+I34+I41+I55+I62+I69+I83+I99+I107+I117+I127+I134+I143+I150+I157+I164+I195+I202+I215+I228+I242+I262+I275+I287+I297+I304+I311+I338+I352+I361+I373+I382+I390+I397+I404+I429+I444+I454+I461+I468+I475+I485+I497+I504+I511+I518+I528+I535+I542+I549+I559+I566+I576+I583+I593+I600+I607+I614+I621+I628+I635+I647+I654+I661+I668+I677+I436+I221+I223+I209+I417+I324+I318+I234+I90+I422+I343+I252+I247+I49</f>
        <v>232147.55</v>
      </c>
      <c r="J688" s="14">
        <f t="shared" si="66"/>
        <v>972.7</v>
      </c>
      <c r="K688" s="360"/>
    </row>
    <row r="689" spans="1:11" x14ac:dyDescent="0.2">
      <c r="A689" s="367"/>
      <c r="B689" s="368"/>
      <c r="C689" s="368"/>
      <c r="D689" s="369"/>
      <c r="E689" s="141">
        <v>2018</v>
      </c>
      <c r="F689" s="95">
        <f t="shared" si="65"/>
        <v>880592.90000000014</v>
      </c>
      <c r="G689" s="14"/>
      <c r="H689" s="14">
        <f>H19+H26+H35+H42+H56+H63+H70+H84+H100+H108+H118+H128+H135+H144+H151+H158+H165+H196+H203+H216+H229+H243+H263+H276+H288+H298+H305+H312+H339+H353+H362+H374+H383+H391+H398+H405+H430+H445+H455+H462+H469+H476+H486+H498+H505+H512+H519+H529+H536+H543+H550+H560+H567+H577+H584+H594+H601+H608+H615+H622+H629+H636+H648+H655+H662+H669+H678+H185</f>
        <v>731074.00000000012</v>
      </c>
      <c r="I689" s="14">
        <f>I19+I26+I35+I42+I56+I63+I70+I84+I100+I108+I118+I128+I135+I144+I151+I158+I165+I196+I203+I216+I229+I243+I263+I276+I288+I298+I305+I312+I339+I353+I362+I374+I383+I391+I398+I405+I430+I445+I455+I462+I469+I476+I486+I498+I505+I512+I519+I529+I536+I543+I550+I560+I567+I577+I584+I594+I601+I608+I615+I622+I629+I636+I648+I655+I662+I669+I678+I437+I91+I235+I319+I325+I418</f>
        <v>148157.40000000002</v>
      </c>
      <c r="J689" s="14">
        <f t="shared" si="66"/>
        <v>1361.5</v>
      </c>
      <c r="K689" s="360"/>
    </row>
    <row r="690" spans="1:11" x14ac:dyDescent="0.2">
      <c r="A690" s="367"/>
      <c r="B690" s="368"/>
      <c r="C690" s="368"/>
      <c r="D690" s="369"/>
      <c r="E690" s="141">
        <v>2019</v>
      </c>
      <c r="F690" s="95">
        <f t="shared" si="65"/>
        <v>906314.20000000019</v>
      </c>
      <c r="G690" s="14"/>
      <c r="H690" s="14">
        <f>H20+H27+H36+H43+H57+H64+H71+H85+H101+H109+H119+H129+H136+H145+H152+H159+H166+H197+H204+H217+H230+H244+H264+H277+H289+H299+H306+H313+H340+H354+H363+H375+H384+H392+H399+H406+H431+H446+H456+H463+H470+H477+H487+H499+H506+H513+H520+H530+H537+H544+H551+H561+H568+H578+H585+H595+H602+H609+H616+H623+H630+H637+H649+H656+H663+H670+H679+H186</f>
        <v>750327.40000000026</v>
      </c>
      <c r="I690" s="14">
        <f>I20+I27+I36+I43+I57+I64+I71+I85+I101+I109+I119+I129+I136+I145+I152+I159+I166+I197+I204+I217+I230+I244+I264+I277+I289+I299+I306+I313+I340+I354+I363+I375+I384+I392+I399+I406+I431+I446+I456+I463+I470+I477+I487+I499+I506+I513+I520+I530+I537+I544+I551+I561+I568+I578+I585+I595+I602+I609+I616+I623+I630+I637+I649+I656+I663+I670+I679+I438+I92+I236+I320+I326+I419</f>
        <v>154547.69999999998</v>
      </c>
      <c r="J690" s="14">
        <f t="shared" si="66"/>
        <v>1439.1</v>
      </c>
      <c r="K690" s="360"/>
    </row>
    <row r="691" spans="1:11" x14ac:dyDescent="0.2">
      <c r="A691" s="367"/>
      <c r="B691" s="368"/>
      <c r="C691" s="368"/>
      <c r="D691" s="369"/>
      <c r="E691" s="141">
        <v>2020</v>
      </c>
      <c r="F691" s="95">
        <f t="shared" si="65"/>
        <v>1523546.6</v>
      </c>
      <c r="G691" s="14"/>
      <c r="H691" s="14">
        <f>H21+H28+H37+H44+H58+H65+H72+H86+H102+H110+H120+H130+H137+H146+H153+H160+H167+H198+H205+H218+H231+H245+H265+H278+H290+H300+H307+H314+H341+H355+H364+H376+H385+H393+H400+H407+H432+H447+H457+H464+H471+H478+H488+H500+H507+H514+H521+H531+H538+H545+H552+H562+H569+H579+H586+H596+H603+H610+H617+H624+H631+H638+H650+H657+H664+H671+H680</f>
        <v>1320769.1000000001</v>
      </c>
      <c r="I691" s="14">
        <f>I21+I28+I37+I44+I58+I65+I72+I86+I102+I110+I120+I130+I137+I146+I153+I160+I167+I198+I205+I218+I231+I245+I265+I278+I290+I300+I307+I314+I341+I355+I364+I376+I385+I393+I400+I407+I432+I447+I457+I464+I471+I478+I488+I500+I507+I514+I521+I531+I538+I545+I552+I562+I569+I579+I586+I596+I603+I610+I617+I624+I631+I638+I650+I657+I664+I671+I680+I439</f>
        <v>201254.90000000002</v>
      </c>
      <c r="J691" s="14">
        <f t="shared" si="66"/>
        <v>1522.6000000000001</v>
      </c>
      <c r="K691" s="360"/>
    </row>
    <row r="692" spans="1:11" ht="15.75" customHeight="1" x14ac:dyDescent="0.2">
      <c r="A692" s="370"/>
      <c r="B692" s="371"/>
      <c r="C692" s="371"/>
      <c r="D692" s="372"/>
      <c r="E692" s="24" t="s">
        <v>130</v>
      </c>
      <c r="F692" s="20">
        <f>SUM(F686:F691)</f>
        <v>6814068.6500000004</v>
      </c>
      <c r="G692" s="13"/>
      <c r="H692" s="13">
        <f>SUM(H686:H691)</f>
        <v>5701470.9000000004</v>
      </c>
      <c r="I692" s="13">
        <f>SUM(I686:I691)</f>
        <v>1105732.3499999999</v>
      </c>
      <c r="J692" s="13">
        <f>SUM(J686:J691)</f>
        <v>6865.4</v>
      </c>
      <c r="K692" s="360"/>
    </row>
    <row r="694" spans="1:11" x14ac:dyDescent="0.2">
      <c r="I694" s="96"/>
    </row>
  </sheetData>
  <mergeCells count="535">
    <mergeCell ref="A329:A333"/>
    <mergeCell ref="B329:B333"/>
    <mergeCell ref="C329:C333"/>
    <mergeCell ref="D329:D333"/>
    <mergeCell ref="K329:K333"/>
    <mergeCell ref="A343:A347"/>
    <mergeCell ref="B343:B347"/>
    <mergeCell ref="C343:C347"/>
    <mergeCell ref="D343:D347"/>
    <mergeCell ref="K343:K347"/>
    <mergeCell ref="A335:E335"/>
    <mergeCell ref="A336:A342"/>
    <mergeCell ref="B336:B342"/>
    <mergeCell ref="C336:C342"/>
    <mergeCell ref="D336:D342"/>
    <mergeCell ref="A267:A271"/>
    <mergeCell ref="B267:B271"/>
    <mergeCell ref="C267:C271"/>
    <mergeCell ref="D267:D271"/>
    <mergeCell ref="K267:K271"/>
    <mergeCell ref="A280:A284"/>
    <mergeCell ref="B280:B284"/>
    <mergeCell ref="C280:C284"/>
    <mergeCell ref="D280:D284"/>
    <mergeCell ref="K280:K284"/>
    <mergeCell ref="A247:A251"/>
    <mergeCell ref="B247:B251"/>
    <mergeCell ref="C247:C251"/>
    <mergeCell ref="D247:D251"/>
    <mergeCell ref="K247:K251"/>
    <mergeCell ref="A252:A256"/>
    <mergeCell ref="B252:B256"/>
    <mergeCell ref="C252:C256"/>
    <mergeCell ref="D252:D256"/>
    <mergeCell ref="K252:K256"/>
    <mergeCell ref="A74:A78"/>
    <mergeCell ref="B74:B78"/>
    <mergeCell ref="C74:C78"/>
    <mergeCell ref="D74:D78"/>
    <mergeCell ref="K74:K78"/>
    <mergeCell ref="B53:B59"/>
    <mergeCell ref="C53:C59"/>
    <mergeCell ref="D53:D59"/>
    <mergeCell ref="K32:K51"/>
    <mergeCell ref="K53:K66"/>
    <mergeCell ref="A51:D51"/>
    <mergeCell ref="K67:K73"/>
    <mergeCell ref="A60:A66"/>
    <mergeCell ref="B60:B66"/>
    <mergeCell ref="C60:C66"/>
    <mergeCell ref="D60:D66"/>
    <mergeCell ref="A67:A73"/>
    <mergeCell ref="B67:B73"/>
    <mergeCell ref="C67:C73"/>
    <mergeCell ref="D67:D73"/>
    <mergeCell ref="C427:C433"/>
    <mergeCell ref="D427:D433"/>
    <mergeCell ref="A425:K425"/>
    <mergeCell ref="A426:K426"/>
    <mergeCell ref="D223:D224"/>
    <mergeCell ref="K223:K224"/>
    <mergeCell ref="M90:O90"/>
    <mergeCell ref="M234:O234"/>
    <mergeCell ref="D46:D48"/>
    <mergeCell ref="A366:K366"/>
    <mergeCell ref="A367:D367"/>
    <mergeCell ref="A369:K369"/>
    <mergeCell ref="A370:K370"/>
    <mergeCell ref="A359:A365"/>
    <mergeCell ref="K295:K301"/>
    <mergeCell ref="K302:K308"/>
    <mergeCell ref="A309:A315"/>
    <mergeCell ref="B309:B315"/>
    <mergeCell ref="C309:C315"/>
    <mergeCell ref="D302:D308"/>
    <mergeCell ref="A334:D334"/>
    <mergeCell ref="K316:K322"/>
    <mergeCell ref="D309:D315"/>
    <mergeCell ref="K309:K315"/>
    <mergeCell ref="A589:K589"/>
    <mergeCell ref="A590:K590"/>
    <mergeCell ref="C233:C238"/>
    <mergeCell ref="D233:D238"/>
    <mergeCell ref="C416:C421"/>
    <mergeCell ref="D416:D421"/>
    <mergeCell ref="A233:A238"/>
    <mergeCell ref="B416:B421"/>
    <mergeCell ref="D540:D546"/>
    <mergeCell ref="B533:B539"/>
    <mergeCell ref="C533:C539"/>
    <mergeCell ref="D533:D539"/>
    <mergeCell ref="K533:K539"/>
    <mergeCell ref="A526:A532"/>
    <mergeCell ref="B526:B532"/>
    <mergeCell ref="C526:C532"/>
    <mergeCell ref="A516:A522"/>
    <mergeCell ref="A523:D523"/>
    <mergeCell ref="D434:D440"/>
    <mergeCell ref="B427:B433"/>
    <mergeCell ref="A427:A433"/>
    <mergeCell ref="A434:A440"/>
    <mergeCell ref="K427:K440"/>
    <mergeCell ref="B434:B440"/>
    <mergeCell ref="A524:K524"/>
    <mergeCell ref="A525:K525"/>
    <mergeCell ref="K473:K479"/>
    <mergeCell ref="A480:D480"/>
    <mergeCell ref="A481:K481"/>
    <mergeCell ref="A482:K482"/>
    <mergeCell ref="C591:C597"/>
    <mergeCell ref="D591:D597"/>
    <mergeCell ref="A493:K493"/>
    <mergeCell ref="K591:K604"/>
    <mergeCell ref="K540:K546"/>
    <mergeCell ref="K547:K553"/>
    <mergeCell ref="K526:K532"/>
    <mergeCell ref="C495:C501"/>
    <mergeCell ref="D495:D501"/>
    <mergeCell ref="K495:K522"/>
    <mergeCell ref="A509:A515"/>
    <mergeCell ref="B509:B515"/>
    <mergeCell ref="D516:D522"/>
    <mergeCell ref="A533:A539"/>
    <mergeCell ref="A540:A546"/>
    <mergeCell ref="B540:B546"/>
    <mergeCell ref="C540:C546"/>
    <mergeCell ref="D526:D532"/>
    <mergeCell ref="A547:A553"/>
    <mergeCell ref="B547:B553"/>
    <mergeCell ref="C547:C553"/>
    <mergeCell ref="D547:D553"/>
    <mergeCell ref="B516:B522"/>
    <mergeCell ref="C516:C522"/>
    <mergeCell ref="D659:D665"/>
    <mergeCell ref="D652:D658"/>
    <mergeCell ref="D598:D604"/>
    <mergeCell ref="C598:C604"/>
    <mergeCell ref="A598:A604"/>
    <mergeCell ref="B598:B604"/>
    <mergeCell ref="A554:D554"/>
    <mergeCell ref="A588:D588"/>
    <mergeCell ref="A574:A580"/>
    <mergeCell ref="B574:B580"/>
    <mergeCell ref="C574:C580"/>
    <mergeCell ref="A581:A587"/>
    <mergeCell ref="B581:B587"/>
    <mergeCell ref="C581:C587"/>
    <mergeCell ref="D581:D587"/>
    <mergeCell ref="D574:D580"/>
    <mergeCell ref="A555:K555"/>
    <mergeCell ref="A556:K556"/>
    <mergeCell ref="A591:A597"/>
    <mergeCell ref="B591:B597"/>
    <mergeCell ref="K645:K672"/>
    <mergeCell ref="D666:D672"/>
    <mergeCell ref="K633:K639"/>
    <mergeCell ref="A633:A639"/>
    <mergeCell ref="B633:B639"/>
    <mergeCell ref="C633:C639"/>
    <mergeCell ref="A666:A672"/>
    <mergeCell ref="B666:B672"/>
    <mergeCell ref="C666:C672"/>
    <mergeCell ref="A659:A665"/>
    <mergeCell ref="A643:K643"/>
    <mergeCell ref="A644:K644"/>
    <mergeCell ref="A641:D641"/>
    <mergeCell ref="A652:A658"/>
    <mergeCell ref="B652:B658"/>
    <mergeCell ref="C652:C658"/>
    <mergeCell ref="A645:A651"/>
    <mergeCell ref="B645:B651"/>
    <mergeCell ref="C645:C651"/>
    <mergeCell ref="D633:D639"/>
    <mergeCell ref="A640:D640"/>
    <mergeCell ref="D645:D651"/>
    <mergeCell ref="B659:B665"/>
    <mergeCell ref="C659:C665"/>
    <mergeCell ref="K686:K692"/>
    <mergeCell ref="A682:D682"/>
    <mergeCell ref="A683:D683"/>
    <mergeCell ref="A684:D684"/>
    <mergeCell ref="A685:D692"/>
    <mergeCell ref="D675:D681"/>
    <mergeCell ref="A673:D673"/>
    <mergeCell ref="A674:K674"/>
    <mergeCell ref="A675:A681"/>
    <mergeCell ref="B675:B681"/>
    <mergeCell ref="C675:C681"/>
    <mergeCell ref="K675:K681"/>
    <mergeCell ref="K605:K632"/>
    <mergeCell ref="A626:A632"/>
    <mergeCell ref="B626:B632"/>
    <mergeCell ref="C626:C632"/>
    <mergeCell ref="D626:D632"/>
    <mergeCell ref="A619:A625"/>
    <mergeCell ref="B619:B625"/>
    <mergeCell ref="C619:C625"/>
    <mergeCell ref="D619:D625"/>
    <mergeCell ref="C612:C618"/>
    <mergeCell ref="D612:D618"/>
    <mergeCell ref="A605:A611"/>
    <mergeCell ref="B605:B611"/>
    <mergeCell ref="C605:C611"/>
    <mergeCell ref="D605:D611"/>
    <mergeCell ref="A612:A618"/>
    <mergeCell ref="B612:B618"/>
    <mergeCell ref="A473:A479"/>
    <mergeCell ref="B473:B479"/>
    <mergeCell ref="C473:C479"/>
    <mergeCell ref="D473:D479"/>
    <mergeCell ref="C509:C515"/>
    <mergeCell ref="D509:D515"/>
    <mergeCell ref="K483:K489"/>
    <mergeCell ref="A490:D490"/>
    <mergeCell ref="A491:D491"/>
    <mergeCell ref="A483:A489"/>
    <mergeCell ref="B483:B489"/>
    <mergeCell ref="C483:C489"/>
    <mergeCell ref="D483:D489"/>
    <mergeCell ref="A502:A508"/>
    <mergeCell ref="B502:B508"/>
    <mergeCell ref="C502:C508"/>
    <mergeCell ref="D502:D508"/>
    <mergeCell ref="A494:K494"/>
    <mergeCell ref="A495:A501"/>
    <mergeCell ref="B495:B501"/>
    <mergeCell ref="A451:K451"/>
    <mergeCell ref="A452:A458"/>
    <mergeCell ref="B452:B458"/>
    <mergeCell ref="C452:C458"/>
    <mergeCell ref="D452:D458"/>
    <mergeCell ref="K452:K472"/>
    <mergeCell ref="A466:A472"/>
    <mergeCell ref="B466:B472"/>
    <mergeCell ref="C466:C472"/>
    <mergeCell ref="D466:D472"/>
    <mergeCell ref="A459:A465"/>
    <mergeCell ref="B459:B465"/>
    <mergeCell ref="C459:C465"/>
    <mergeCell ref="D459:D465"/>
    <mergeCell ref="A449:D449"/>
    <mergeCell ref="A450:K450"/>
    <mergeCell ref="K442:K448"/>
    <mergeCell ref="C434:C440"/>
    <mergeCell ref="A442:A448"/>
    <mergeCell ref="B442:B448"/>
    <mergeCell ref="C442:C448"/>
    <mergeCell ref="D442:D448"/>
    <mergeCell ref="A441:K441"/>
    <mergeCell ref="A424:D424"/>
    <mergeCell ref="A416:A421"/>
    <mergeCell ref="K395:K401"/>
    <mergeCell ref="A402:A408"/>
    <mergeCell ref="B402:B408"/>
    <mergeCell ref="C402:C408"/>
    <mergeCell ref="D402:D408"/>
    <mergeCell ref="K402:K408"/>
    <mergeCell ref="A395:A401"/>
    <mergeCell ref="B395:B401"/>
    <mergeCell ref="C395:C401"/>
    <mergeCell ref="D395:D401"/>
    <mergeCell ref="A409:A415"/>
    <mergeCell ref="B409:B415"/>
    <mergeCell ref="C409:C415"/>
    <mergeCell ref="D409:D415"/>
    <mergeCell ref="K416:K421"/>
    <mergeCell ref="K409:K415"/>
    <mergeCell ref="A422:A423"/>
    <mergeCell ref="B422:B423"/>
    <mergeCell ref="C422:C423"/>
    <mergeCell ref="D422:D423"/>
    <mergeCell ref="K422:K423"/>
    <mergeCell ref="A387:K387"/>
    <mergeCell ref="A388:A394"/>
    <mergeCell ref="B388:B394"/>
    <mergeCell ref="C388:C394"/>
    <mergeCell ref="D388:D394"/>
    <mergeCell ref="K388:K394"/>
    <mergeCell ref="K371:K377"/>
    <mergeCell ref="A378:K378"/>
    <mergeCell ref="A379:K379"/>
    <mergeCell ref="A380:A386"/>
    <mergeCell ref="B380:B386"/>
    <mergeCell ref="C380:C386"/>
    <mergeCell ref="D380:D386"/>
    <mergeCell ref="K380:K386"/>
    <mergeCell ref="A371:A377"/>
    <mergeCell ref="B371:B377"/>
    <mergeCell ref="C371:C377"/>
    <mergeCell ref="D371:D377"/>
    <mergeCell ref="B295:B301"/>
    <mergeCell ref="C295:C301"/>
    <mergeCell ref="D295:D301"/>
    <mergeCell ref="A323:A328"/>
    <mergeCell ref="B323:B328"/>
    <mergeCell ref="C323:C328"/>
    <mergeCell ref="D323:D328"/>
    <mergeCell ref="K323:K328"/>
    <mergeCell ref="D273:D279"/>
    <mergeCell ref="K273:K279"/>
    <mergeCell ref="K285:K291"/>
    <mergeCell ref="A292:D292"/>
    <mergeCell ref="A294:K294"/>
    <mergeCell ref="A285:A291"/>
    <mergeCell ref="B285:B291"/>
    <mergeCell ref="C285:C291"/>
    <mergeCell ref="D285:D291"/>
    <mergeCell ref="A293:K293"/>
    <mergeCell ref="A302:A308"/>
    <mergeCell ref="B302:B308"/>
    <mergeCell ref="C302:C308"/>
    <mergeCell ref="A295:A301"/>
    <mergeCell ref="F176:J181"/>
    <mergeCell ref="K200:K206"/>
    <mergeCell ref="A190:D190"/>
    <mergeCell ref="A191:K191"/>
    <mergeCell ref="A192:K192"/>
    <mergeCell ref="K193:K199"/>
    <mergeCell ref="A193:A199"/>
    <mergeCell ref="B193:B199"/>
    <mergeCell ref="C193:C199"/>
    <mergeCell ref="D193:D199"/>
    <mergeCell ref="A200:A206"/>
    <mergeCell ref="B200:B206"/>
    <mergeCell ref="C200:C206"/>
    <mergeCell ref="D200:D206"/>
    <mergeCell ref="B183:B188"/>
    <mergeCell ref="A183:A188"/>
    <mergeCell ref="C183:C188"/>
    <mergeCell ref="D183:D188"/>
    <mergeCell ref="K183:K188"/>
    <mergeCell ref="A189:D189"/>
    <mergeCell ref="D169:D175"/>
    <mergeCell ref="F169:J175"/>
    <mergeCell ref="A141:A147"/>
    <mergeCell ref="B141:B147"/>
    <mergeCell ref="C141:C147"/>
    <mergeCell ref="D141:D147"/>
    <mergeCell ref="K155:K161"/>
    <mergeCell ref="A162:A168"/>
    <mergeCell ref="B162:B168"/>
    <mergeCell ref="C162:C168"/>
    <mergeCell ref="D162:D168"/>
    <mergeCell ref="K162:K168"/>
    <mergeCell ref="A155:A161"/>
    <mergeCell ref="B155:B161"/>
    <mergeCell ref="C155:C161"/>
    <mergeCell ref="D155:D161"/>
    <mergeCell ref="K169:K182"/>
    <mergeCell ref="A169:A175"/>
    <mergeCell ref="B169:B175"/>
    <mergeCell ref="C169:C175"/>
    <mergeCell ref="B176:B182"/>
    <mergeCell ref="C176:C182"/>
    <mergeCell ref="D176:D182"/>
    <mergeCell ref="A176:A182"/>
    <mergeCell ref="K141:K154"/>
    <mergeCell ref="A148:A154"/>
    <mergeCell ref="B148:B154"/>
    <mergeCell ref="C148:C154"/>
    <mergeCell ref="D148:D154"/>
    <mergeCell ref="A125:A131"/>
    <mergeCell ref="B125:B131"/>
    <mergeCell ref="C125:C131"/>
    <mergeCell ref="D125:D131"/>
    <mergeCell ref="A139:K139"/>
    <mergeCell ref="A140:K140"/>
    <mergeCell ref="A122:E122"/>
    <mergeCell ref="F122:J122"/>
    <mergeCell ref="A123:K123"/>
    <mergeCell ref="A124:K124"/>
    <mergeCell ref="K125:K131"/>
    <mergeCell ref="A132:A138"/>
    <mergeCell ref="B132:B138"/>
    <mergeCell ref="C132:C138"/>
    <mergeCell ref="D132:D138"/>
    <mergeCell ref="K132:K138"/>
    <mergeCell ref="A112:D112"/>
    <mergeCell ref="A113:K113"/>
    <mergeCell ref="A114:K114"/>
    <mergeCell ref="A115:A121"/>
    <mergeCell ref="B115:B121"/>
    <mergeCell ref="C115:C121"/>
    <mergeCell ref="D115:D121"/>
    <mergeCell ref="K115:K121"/>
    <mergeCell ref="A97:A103"/>
    <mergeCell ref="B97:B103"/>
    <mergeCell ref="C97:C103"/>
    <mergeCell ref="D97:D103"/>
    <mergeCell ref="K97:K103"/>
    <mergeCell ref="A104:K104"/>
    <mergeCell ref="A105:A111"/>
    <mergeCell ref="B105:B111"/>
    <mergeCell ref="C105:C111"/>
    <mergeCell ref="D105:D111"/>
    <mergeCell ref="K105:K111"/>
    <mergeCell ref="A79:D79"/>
    <mergeCell ref="A80:K80"/>
    <mergeCell ref="A81:A87"/>
    <mergeCell ref="B81:B87"/>
    <mergeCell ref="C81:C87"/>
    <mergeCell ref="D81:D87"/>
    <mergeCell ref="K81:K87"/>
    <mergeCell ref="A95:D95"/>
    <mergeCell ref="A96:K96"/>
    <mergeCell ref="C88:C94"/>
    <mergeCell ref="D88:D94"/>
    <mergeCell ref="A88:A94"/>
    <mergeCell ref="B88:B94"/>
    <mergeCell ref="K88:K94"/>
    <mergeCell ref="D39:D45"/>
    <mergeCell ref="A52:K52"/>
    <mergeCell ref="A39:A45"/>
    <mergeCell ref="B39:B45"/>
    <mergeCell ref="A53:A59"/>
    <mergeCell ref="C39:C45"/>
    <mergeCell ref="A46:A48"/>
    <mergeCell ref="B46:B48"/>
    <mergeCell ref="C46:C48"/>
    <mergeCell ref="A49:A50"/>
    <mergeCell ref="B49:B50"/>
    <mergeCell ref="C49:C50"/>
    <mergeCell ref="D49:D50"/>
    <mergeCell ref="A16:A22"/>
    <mergeCell ref="B16:B22"/>
    <mergeCell ref="W30:Z30"/>
    <mergeCell ref="A31:K31"/>
    <mergeCell ref="A32:A38"/>
    <mergeCell ref="B32:B38"/>
    <mergeCell ref="C32:C38"/>
    <mergeCell ref="L30:N30"/>
    <mergeCell ref="O30:R30"/>
    <mergeCell ref="S30:V30"/>
    <mergeCell ref="A30:D30"/>
    <mergeCell ref="D32:D38"/>
    <mergeCell ref="A23:A29"/>
    <mergeCell ref="B23:B29"/>
    <mergeCell ref="C23:C29"/>
    <mergeCell ref="D23:D29"/>
    <mergeCell ref="K23:K29"/>
    <mergeCell ref="C16:C22"/>
    <mergeCell ref="D16:D22"/>
    <mergeCell ref="K16:K22"/>
    <mergeCell ref="H1:K1"/>
    <mergeCell ref="H2:K2"/>
    <mergeCell ref="E10:E11"/>
    <mergeCell ref="F10:J10"/>
    <mergeCell ref="A14:K14"/>
    <mergeCell ref="A15:K15"/>
    <mergeCell ref="A13:K13"/>
    <mergeCell ref="A10:A11"/>
    <mergeCell ref="B10:B11"/>
    <mergeCell ref="A5:K5"/>
    <mergeCell ref="A6:K6"/>
    <mergeCell ref="A7:K7"/>
    <mergeCell ref="K10:K11"/>
    <mergeCell ref="C10:C11"/>
    <mergeCell ref="D10:D11"/>
    <mergeCell ref="A226:A232"/>
    <mergeCell ref="B226:B232"/>
    <mergeCell ref="C226:C232"/>
    <mergeCell ref="D226:D232"/>
    <mergeCell ref="K226:K232"/>
    <mergeCell ref="K207:K211"/>
    <mergeCell ref="B213:B219"/>
    <mergeCell ref="B207:B211"/>
    <mergeCell ref="C207:C211"/>
    <mergeCell ref="D207:D211"/>
    <mergeCell ref="A225:K225"/>
    <mergeCell ref="A213:A219"/>
    <mergeCell ref="A207:A211"/>
    <mergeCell ref="C213:C219"/>
    <mergeCell ref="D213:D219"/>
    <mergeCell ref="K213:K219"/>
    <mergeCell ref="A220:A222"/>
    <mergeCell ref="B220:B222"/>
    <mergeCell ref="C220:C222"/>
    <mergeCell ref="D220:D222"/>
    <mergeCell ref="K220:K222"/>
    <mergeCell ref="A223:A224"/>
    <mergeCell ref="B223:B224"/>
    <mergeCell ref="C223:C224"/>
    <mergeCell ref="K233:K238"/>
    <mergeCell ref="A316:A322"/>
    <mergeCell ref="B316:B322"/>
    <mergeCell ref="C316:C322"/>
    <mergeCell ref="D316:D322"/>
    <mergeCell ref="A239:K239"/>
    <mergeCell ref="A240:A246"/>
    <mergeCell ref="B240:B246"/>
    <mergeCell ref="C240:C246"/>
    <mergeCell ref="D240:D246"/>
    <mergeCell ref="K240:K246"/>
    <mergeCell ref="A257:D257"/>
    <mergeCell ref="A258:K258"/>
    <mergeCell ref="A259:K259"/>
    <mergeCell ref="A260:A266"/>
    <mergeCell ref="B260:B266"/>
    <mergeCell ref="C260:C266"/>
    <mergeCell ref="D260:D266"/>
    <mergeCell ref="K260:K266"/>
    <mergeCell ref="B233:B238"/>
    <mergeCell ref="A272:K272"/>
    <mergeCell ref="A273:A279"/>
    <mergeCell ref="B273:B279"/>
    <mergeCell ref="C273:C279"/>
    <mergeCell ref="A564:A570"/>
    <mergeCell ref="B564:B570"/>
    <mergeCell ref="C564:C570"/>
    <mergeCell ref="D564:D570"/>
    <mergeCell ref="K581:K587"/>
    <mergeCell ref="K574:K580"/>
    <mergeCell ref="D557:D563"/>
    <mergeCell ref="K557:K563"/>
    <mergeCell ref="A571:D571"/>
    <mergeCell ref="A572:K572"/>
    <mergeCell ref="K564:K570"/>
    <mergeCell ref="A557:A563"/>
    <mergeCell ref="B557:B563"/>
    <mergeCell ref="C557:C563"/>
    <mergeCell ref="A573:K573"/>
    <mergeCell ref="K359:K365"/>
    <mergeCell ref="K336:K342"/>
    <mergeCell ref="A348:D348"/>
    <mergeCell ref="A349:K349"/>
    <mergeCell ref="A350:A356"/>
    <mergeCell ref="B350:B356"/>
    <mergeCell ref="C350:C356"/>
    <mergeCell ref="D350:D356"/>
    <mergeCell ref="K350:K356"/>
    <mergeCell ref="A358:K358"/>
    <mergeCell ref="B359:B365"/>
    <mergeCell ref="C359:C365"/>
    <mergeCell ref="D359:D365"/>
    <mergeCell ref="A357:D357"/>
  </mergeCells>
  <phoneticPr fontId="0" type="noConversion"/>
  <pageMargins left="0.74803149606299213" right="0.55118110236220474" top="0.78740157480314965" bottom="0.78740157480314965" header="0.51181102362204722" footer="0.51181102362204722"/>
  <pageSetup paperSize="9" scale="75" orientation="landscape" r:id="rId1"/>
  <headerFooter alignWithMargins="0"/>
  <rowBreaks count="20" manualBreakCount="20">
    <brk id="30" max="10" man="1"/>
    <brk id="51" max="10" man="1"/>
    <brk id="79" max="10" man="1"/>
    <brk id="122" max="10" man="1"/>
    <brk id="154" max="10" man="1"/>
    <brk id="190" max="10" man="1"/>
    <brk id="222" max="10" man="1"/>
    <brk id="257" max="10" man="1"/>
    <brk id="292" max="10" man="1"/>
    <brk id="328" max="10" man="1"/>
    <brk id="357" max="10" man="1"/>
    <brk id="368" max="10" man="1"/>
    <brk id="408" max="10" man="1"/>
    <brk id="449" max="10" man="1"/>
    <brk id="492" max="10" man="1"/>
    <brk id="523" max="10" man="1"/>
    <brk id="563" max="10" man="1"/>
    <brk id="604" max="10" man="1"/>
    <brk id="642" max="10" man="1"/>
    <brk id="684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программа декабрь</vt:lpstr>
      <vt:lpstr>Лист2</vt:lpstr>
      <vt:lpstr>'программа декабрь'!Область_печати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Парубец Елена Анатольевна</cp:lastModifiedBy>
  <cp:lastPrinted>2017-07-21T00:29:41Z</cp:lastPrinted>
  <dcterms:created xsi:type="dcterms:W3CDTF">1996-10-08T23:32:33Z</dcterms:created>
  <dcterms:modified xsi:type="dcterms:W3CDTF">2017-07-21T00:31:12Z</dcterms:modified>
</cp:coreProperties>
</file>