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6\программа февраль 2017\программа проект\"/>
    </mc:Choice>
  </mc:AlternateContent>
  <bookViews>
    <workbookView xWindow="0" yWindow="0" windowWidth="20490" windowHeight="7155"/>
  </bookViews>
  <sheets>
    <sheet name="программа декабрь" sheetId="1" r:id="rId1"/>
    <sheet name="Лист2" sheetId="2" r:id="rId2"/>
  </sheets>
  <definedNames>
    <definedName name="_xlnm.Print_Area" localSheetId="0">'программа декабрь'!$A$1:$K$653</definedName>
  </definedNames>
  <calcPr calcId="152511"/>
</workbook>
</file>

<file path=xl/calcChain.xml><?xml version="1.0" encoding="utf-8"?>
<calcChain xmlns="http://schemas.openxmlformats.org/spreadsheetml/2006/main">
  <c r="F240" i="1" l="1"/>
  <c r="I240" i="1"/>
  <c r="H240" i="1"/>
  <c r="I651" i="1" l="1"/>
  <c r="H651" i="1"/>
  <c r="I650" i="1"/>
  <c r="H650" i="1"/>
  <c r="I649" i="1" l="1"/>
  <c r="H649" i="1"/>
  <c r="I217" i="1" l="1"/>
  <c r="H217" i="1"/>
  <c r="G217" i="1"/>
  <c r="F216" i="1"/>
  <c r="F217" i="1" s="1"/>
  <c r="I204" i="1"/>
  <c r="F204" i="1"/>
  <c r="J607" i="1" l="1"/>
  <c r="I607" i="1"/>
  <c r="I519" i="1" l="1"/>
  <c r="H478" i="1"/>
  <c r="I396" i="1"/>
  <c r="I428" i="1"/>
  <c r="I404" i="1"/>
  <c r="I389" i="1"/>
  <c r="I344" i="1"/>
  <c r="I314" i="1"/>
  <c r="I305" i="1"/>
  <c r="I207" i="1"/>
  <c r="I142" i="1"/>
  <c r="I66" i="1"/>
  <c r="I234" i="1" l="1"/>
  <c r="J362" i="1" l="1"/>
  <c r="J361" i="1"/>
  <c r="J355" i="1"/>
  <c r="J354" i="1"/>
  <c r="F297" i="1"/>
  <c r="F298" i="1"/>
  <c r="F299" i="1"/>
  <c r="F300" i="1"/>
  <c r="I301" i="1"/>
  <c r="I295" i="1"/>
  <c r="I629" i="1" l="1"/>
  <c r="I544" i="1"/>
  <c r="I481" i="1"/>
  <c r="H481" i="1"/>
  <c r="I480" i="1"/>
  <c r="H480" i="1"/>
  <c r="I479" i="1"/>
  <c r="H479" i="1"/>
  <c r="I474" i="1"/>
  <c r="I473" i="1"/>
  <c r="H467" i="1"/>
  <c r="H466" i="1"/>
  <c r="H465" i="1"/>
  <c r="H460" i="1"/>
  <c r="H459" i="1"/>
  <c r="H458" i="1"/>
  <c r="H448" i="1"/>
  <c r="H447" i="1"/>
  <c r="I446" i="1"/>
  <c r="H446" i="1"/>
  <c r="I436" i="1"/>
  <c r="I422" i="1"/>
  <c r="I405" i="1"/>
  <c r="I397" i="1"/>
  <c r="I369" i="1"/>
  <c r="I368" i="1"/>
  <c r="I367" i="1"/>
  <c r="I347" i="1"/>
  <c r="F347" i="1" s="1"/>
  <c r="I346" i="1"/>
  <c r="I345" i="1"/>
  <c r="H326" i="1"/>
  <c r="H325" i="1"/>
  <c r="H324" i="1"/>
  <c r="I315" i="1"/>
  <c r="I306" i="1"/>
  <c r="I284" i="1"/>
  <c r="H284" i="1"/>
  <c r="H279" i="1"/>
  <c r="H278" i="1"/>
  <c r="H272" i="1"/>
  <c r="H271" i="1"/>
  <c r="H253" i="1"/>
  <c r="H247" i="1"/>
  <c r="H246" i="1"/>
  <c r="H245" i="1"/>
  <c r="I237" i="1"/>
  <c r="I235" i="1"/>
  <c r="H220" i="1"/>
  <c r="I214" i="1"/>
  <c r="H214" i="1"/>
  <c r="H209" i="1"/>
  <c r="H210" i="1"/>
  <c r="I210" i="1"/>
  <c r="I209" i="1"/>
  <c r="I190" i="1"/>
  <c r="H190" i="1"/>
  <c r="I145" i="1"/>
  <c r="I144" i="1"/>
  <c r="I143" i="1"/>
  <c r="H138" i="1"/>
  <c r="H137" i="1"/>
  <c r="H136" i="1"/>
  <c r="I102" i="1"/>
  <c r="I101" i="1"/>
  <c r="I94" i="1"/>
  <c r="I93" i="1"/>
  <c r="H76" i="1"/>
  <c r="I76" i="1"/>
  <c r="I69" i="1"/>
  <c r="I68" i="1"/>
  <c r="I67" i="1"/>
  <c r="I42" i="1"/>
  <c r="H42" i="1"/>
  <c r="I46" i="1"/>
  <c r="H46" i="1"/>
  <c r="F369" i="1"/>
  <c r="F382" i="1"/>
  <c r="F279" i="1"/>
  <c r="H255" i="1"/>
  <c r="I229" i="1"/>
  <c r="F229" i="1" s="1"/>
  <c r="F179" i="1"/>
  <c r="F85" i="1"/>
  <c r="H323" i="1"/>
  <c r="F381" i="1"/>
  <c r="H254" i="1"/>
  <c r="I236" i="1"/>
  <c r="F228" i="1"/>
  <c r="I228" i="1"/>
  <c r="F178" i="1"/>
  <c r="F177" i="1"/>
  <c r="I478" i="1"/>
  <c r="F84" i="1"/>
  <c r="H457" i="1"/>
  <c r="H464" i="1"/>
  <c r="F380" i="1"/>
  <c r="H269" i="1"/>
  <c r="H244" i="1"/>
  <c r="I227" i="1"/>
  <c r="F227" i="1" s="1"/>
  <c r="H135" i="1"/>
  <c r="F83" i="1"/>
  <c r="I471" i="1" l="1"/>
  <c r="I220" i="1"/>
  <c r="I435" i="1"/>
  <c r="I414" i="1"/>
  <c r="G302" i="1" l="1"/>
  <c r="I290" i="1"/>
  <c r="F296" i="1"/>
  <c r="F301" i="1" s="1"/>
  <c r="I226" i="1" l="1"/>
  <c r="I194" i="1"/>
  <c r="I82" i="1" l="1"/>
  <c r="J621" i="1" l="1"/>
  <c r="J614" i="1"/>
  <c r="H252" i="1"/>
  <c r="H176" i="1"/>
  <c r="H134" i="1"/>
  <c r="I48" i="1"/>
  <c r="H48" i="1"/>
  <c r="G48" i="1"/>
  <c r="F47" i="1"/>
  <c r="F46" i="1"/>
  <c r="F48" i="1" s="1"/>
  <c r="F213" i="1" l="1"/>
  <c r="H215" i="1"/>
  <c r="G215" i="1"/>
  <c r="F214" i="1"/>
  <c r="F215" i="1" l="1"/>
  <c r="I215" i="1"/>
  <c r="I628" i="1"/>
  <c r="I621" i="1"/>
  <c r="I614" i="1"/>
  <c r="H276" i="1" l="1"/>
  <c r="H648" i="1" s="1"/>
  <c r="F208" i="1"/>
  <c r="I648" i="1" l="1"/>
  <c r="H652" i="1"/>
  <c r="J652" i="1"/>
  <c r="J651" i="1"/>
  <c r="J650" i="1"/>
  <c r="J649" i="1"/>
  <c r="J648" i="1"/>
  <c r="J647" i="1"/>
  <c r="F203" i="1" l="1"/>
  <c r="F313" i="1" l="1"/>
  <c r="F314" i="1"/>
  <c r="F315" i="1"/>
  <c r="F316" i="1"/>
  <c r="F317" i="1"/>
  <c r="F318" i="1"/>
  <c r="I319" i="1"/>
  <c r="I320" i="1" s="1"/>
  <c r="H319" i="1"/>
  <c r="H320" i="1" s="1"/>
  <c r="G320" i="1"/>
  <c r="I343" i="1"/>
  <c r="I349" i="1" s="1"/>
  <c r="I365" i="1"/>
  <c r="I371" i="1" s="1"/>
  <c r="I378" i="1"/>
  <c r="I384" i="1"/>
  <c r="F384" i="1" s="1"/>
  <c r="I288" i="1"/>
  <c r="I211" i="1"/>
  <c r="I212" i="1" s="1"/>
  <c r="I625" i="1"/>
  <c r="F625" i="1" s="1"/>
  <c r="I16" i="1"/>
  <c r="I65" i="1"/>
  <c r="F65" i="1" s="1"/>
  <c r="I141" i="1"/>
  <c r="F141" i="1" s="1"/>
  <c r="I193" i="1"/>
  <c r="I199" i="1" s="1"/>
  <c r="I206" i="1"/>
  <c r="I233" i="1"/>
  <c r="F233" i="1" s="1"/>
  <c r="I444" i="1"/>
  <c r="I451" i="1" s="1"/>
  <c r="I620" i="1"/>
  <c r="I626" i="1" s="1"/>
  <c r="I419" i="1"/>
  <c r="I426" i="1"/>
  <c r="I433" i="1"/>
  <c r="I440" i="1"/>
  <c r="I394" i="1"/>
  <c r="I409" i="1"/>
  <c r="I401" i="1"/>
  <c r="F651" i="1"/>
  <c r="F650" i="1"/>
  <c r="F649" i="1"/>
  <c r="H477" i="1"/>
  <c r="H483" i="1" s="1"/>
  <c r="H463" i="1"/>
  <c r="H469" i="1" s="1"/>
  <c r="H456" i="1"/>
  <c r="H462" i="1" s="1"/>
  <c r="H444" i="1"/>
  <c r="H451" i="1" s="1"/>
  <c r="H275" i="1"/>
  <c r="F275" i="1" s="1"/>
  <c r="H268" i="1"/>
  <c r="H274" i="1" s="1"/>
  <c r="H251" i="1"/>
  <c r="H257" i="1" s="1"/>
  <c r="H243" i="1"/>
  <c r="H249" i="1" s="1"/>
  <c r="H200" i="1"/>
  <c r="H193" i="1"/>
  <c r="H199" i="1" s="1"/>
  <c r="H140" i="1"/>
  <c r="H23" i="1"/>
  <c r="H29" i="1" s="1"/>
  <c r="H16" i="1"/>
  <c r="H22" i="1" s="1"/>
  <c r="F201" i="1"/>
  <c r="F202" i="1"/>
  <c r="F282" i="1"/>
  <c r="F283" i="1"/>
  <c r="F284" i="1"/>
  <c r="F285" i="1"/>
  <c r="F286" i="1"/>
  <c r="F287" i="1"/>
  <c r="F276" i="1"/>
  <c r="F277" i="1"/>
  <c r="F278" i="1"/>
  <c r="F280" i="1"/>
  <c r="F269" i="1"/>
  <c r="F270" i="1"/>
  <c r="F271" i="1"/>
  <c r="F272" i="1"/>
  <c r="F273" i="1"/>
  <c r="F289" i="1"/>
  <c r="F290" i="1"/>
  <c r="F291" i="1"/>
  <c r="F292" i="1"/>
  <c r="F293" i="1"/>
  <c r="F294" i="1"/>
  <c r="H288" i="1"/>
  <c r="H295" i="1"/>
  <c r="H410" i="1"/>
  <c r="G410" i="1"/>
  <c r="F400" i="1"/>
  <c r="F399" i="1"/>
  <c r="F398" i="1"/>
  <c r="F397" i="1"/>
  <c r="F396" i="1"/>
  <c r="F395" i="1"/>
  <c r="G385" i="1"/>
  <c r="H349" i="1"/>
  <c r="H378" i="1"/>
  <c r="J357" i="1"/>
  <c r="J364" i="1"/>
  <c r="F379" i="1"/>
  <c r="H225" i="1"/>
  <c r="H212" i="1"/>
  <c r="H192" i="1"/>
  <c r="F226" i="1"/>
  <c r="F231" i="1" s="1"/>
  <c r="I231" i="1"/>
  <c r="F135" i="1"/>
  <c r="F136" i="1"/>
  <c r="F137" i="1"/>
  <c r="F138" i="1"/>
  <c r="F139" i="1"/>
  <c r="F142" i="1"/>
  <c r="F143" i="1"/>
  <c r="F144" i="1"/>
  <c r="F145" i="1"/>
  <c r="F146" i="1"/>
  <c r="F176" i="1"/>
  <c r="F181" i="1" s="1"/>
  <c r="H181" i="1"/>
  <c r="H80" i="1"/>
  <c r="H88" i="1" s="1"/>
  <c r="H57" i="1"/>
  <c r="H72" i="1" s="1"/>
  <c r="G182" i="1"/>
  <c r="G183" i="1" s="1"/>
  <c r="F323" i="1"/>
  <c r="I80" i="1"/>
  <c r="I87" i="1"/>
  <c r="F82" i="1"/>
  <c r="H87" i="1"/>
  <c r="J653" i="1"/>
  <c r="J633" i="1"/>
  <c r="J626" i="1"/>
  <c r="J619" i="1"/>
  <c r="J612" i="1"/>
  <c r="I642" i="1"/>
  <c r="I643" i="1" s="1"/>
  <c r="I633" i="1"/>
  <c r="I619" i="1"/>
  <c r="I612" i="1"/>
  <c r="H643" i="1"/>
  <c r="H633" i="1"/>
  <c r="H626" i="1"/>
  <c r="H619" i="1"/>
  <c r="H612" i="1"/>
  <c r="G643" i="1"/>
  <c r="G633" i="1"/>
  <c r="G626" i="1"/>
  <c r="G619" i="1"/>
  <c r="G612" i="1"/>
  <c r="F636" i="1"/>
  <c r="F637" i="1"/>
  <c r="F638" i="1"/>
  <c r="F639" i="1"/>
  <c r="F640" i="1"/>
  <c r="F641" i="1"/>
  <c r="F627" i="1"/>
  <c r="F628" i="1"/>
  <c r="F629" i="1"/>
  <c r="F630" i="1"/>
  <c r="F631" i="1"/>
  <c r="F632" i="1"/>
  <c r="F621" i="1"/>
  <c r="F622" i="1"/>
  <c r="F623" i="1"/>
  <c r="F624" i="1"/>
  <c r="F613" i="1"/>
  <c r="F614" i="1"/>
  <c r="F615" i="1"/>
  <c r="F616" i="1"/>
  <c r="F617" i="1"/>
  <c r="F618" i="1"/>
  <c r="F606" i="1"/>
  <c r="F607" i="1"/>
  <c r="F608" i="1"/>
  <c r="F609" i="1"/>
  <c r="F610" i="1"/>
  <c r="F611" i="1"/>
  <c r="I593" i="1"/>
  <c r="I586" i="1"/>
  <c r="I579" i="1"/>
  <c r="I572" i="1"/>
  <c r="I565" i="1"/>
  <c r="I558" i="1"/>
  <c r="I548" i="1"/>
  <c r="I541" i="1"/>
  <c r="I524" i="1"/>
  <c r="I532" i="1" s="1"/>
  <c r="I493" i="1"/>
  <c r="I500" i="1"/>
  <c r="I476" i="1"/>
  <c r="I483" i="1"/>
  <c r="F587" i="1"/>
  <c r="F588" i="1"/>
  <c r="F589" i="1"/>
  <c r="F590" i="1"/>
  <c r="F591" i="1"/>
  <c r="F592" i="1"/>
  <c r="F580" i="1"/>
  <c r="F581" i="1"/>
  <c r="F582" i="1"/>
  <c r="F583" i="1"/>
  <c r="F584" i="1"/>
  <c r="F585" i="1"/>
  <c r="F573" i="1"/>
  <c r="F574" i="1"/>
  <c r="F575" i="1"/>
  <c r="F576" i="1"/>
  <c r="F577" i="1"/>
  <c r="F578" i="1"/>
  <c r="F566" i="1"/>
  <c r="F567" i="1"/>
  <c r="F568" i="1"/>
  <c r="F569" i="1"/>
  <c r="F570" i="1"/>
  <c r="F571" i="1"/>
  <c r="F559" i="1"/>
  <c r="F560" i="1"/>
  <c r="F561" i="1"/>
  <c r="F562" i="1"/>
  <c r="F563" i="1"/>
  <c r="F564" i="1"/>
  <c r="F552" i="1"/>
  <c r="F553" i="1"/>
  <c r="F554" i="1"/>
  <c r="F555" i="1"/>
  <c r="F556" i="1"/>
  <c r="F557" i="1"/>
  <c r="F542" i="1"/>
  <c r="F543" i="1"/>
  <c r="F544" i="1"/>
  <c r="F545" i="1"/>
  <c r="F546" i="1"/>
  <c r="F547" i="1"/>
  <c r="F535" i="1"/>
  <c r="F536" i="1"/>
  <c r="F537" i="1"/>
  <c r="F538" i="1"/>
  <c r="F539" i="1"/>
  <c r="F540" i="1"/>
  <c r="F518" i="1"/>
  <c r="F519" i="1"/>
  <c r="F520" i="1"/>
  <c r="F521" i="1"/>
  <c r="F522" i="1"/>
  <c r="F523" i="1"/>
  <c r="F487" i="1"/>
  <c r="F488" i="1"/>
  <c r="F489" i="1"/>
  <c r="F490" i="1"/>
  <c r="F491" i="1"/>
  <c r="F492" i="1"/>
  <c r="F494" i="1"/>
  <c r="F495" i="1"/>
  <c r="F496" i="1"/>
  <c r="F497" i="1"/>
  <c r="F498" i="1"/>
  <c r="F499" i="1"/>
  <c r="G484" i="1"/>
  <c r="F457" i="1"/>
  <c r="F458" i="1"/>
  <c r="F459" i="1"/>
  <c r="F460" i="1"/>
  <c r="F461" i="1"/>
  <c r="F464" i="1"/>
  <c r="F465" i="1"/>
  <c r="F466" i="1"/>
  <c r="F467" i="1"/>
  <c r="F468" i="1"/>
  <c r="F470" i="1"/>
  <c r="F471" i="1"/>
  <c r="F472" i="1"/>
  <c r="F473" i="1"/>
  <c r="F474" i="1"/>
  <c r="F475" i="1"/>
  <c r="F478" i="1"/>
  <c r="F479" i="1"/>
  <c r="F480" i="1"/>
  <c r="F481" i="1"/>
  <c r="F482" i="1"/>
  <c r="H441" i="1"/>
  <c r="F445" i="1"/>
  <c r="F446" i="1"/>
  <c r="F447" i="1"/>
  <c r="F448" i="1"/>
  <c r="F449" i="1"/>
  <c r="G441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7" i="1"/>
  <c r="F428" i="1"/>
  <c r="F429" i="1"/>
  <c r="F430" i="1"/>
  <c r="F431" i="1"/>
  <c r="F432" i="1"/>
  <c r="F434" i="1"/>
  <c r="F435" i="1"/>
  <c r="F436" i="1"/>
  <c r="F437" i="1"/>
  <c r="F438" i="1"/>
  <c r="F439" i="1"/>
  <c r="F388" i="1"/>
  <c r="F389" i="1"/>
  <c r="F390" i="1"/>
  <c r="F391" i="1"/>
  <c r="F392" i="1"/>
  <c r="F393" i="1"/>
  <c r="F403" i="1"/>
  <c r="F404" i="1"/>
  <c r="F405" i="1"/>
  <c r="F406" i="1"/>
  <c r="F407" i="1"/>
  <c r="F408" i="1"/>
  <c r="F372" i="1"/>
  <c r="F378" i="1" s="1"/>
  <c r="F366" i="1"/>
  <c r="F367" i="1"/>
  <c r="F368" i="1"/>
  <c r="F370" i="1"/>
  <c r="F361" i="1"/>
  <c r="F362" i="1"/>
  <c r="F363" i="1"/>
  <c r="F354" i="1"/>
  <c r="F355" i="1"/>
  <c r="F356" i="1"/>
  <c r="F344" i="1"/>
  <c r="F345" i="1"/>
  <c r="F346" i="1"/>
  <c r="F348" i="1"/>
  <c r="I310" i="1"/>
  <c r="I311" i="1" s="1"/>
  <c r="I225" i="1"/>
  <c r="I192" i="1"/>
  <c r="H328" i="1"/>
  <c r="H311" i="1"/>
  <c r="G311" i="1"/>
  <c r="F322" i="1"/>
  <c r="F324" i="1"/>
  <c r="F325" i="1"/>
  <c r="F326" i="1"/>
  <c r="F327" i="1"/>
  <c r="F304" i="1"/>
  <c r="F305" i="1"/>
  <c r="F306" i="1"/>
  <c r="F307" i="1"/>
  <c r="F308" i="1"/>
  <c r="F309" i="1"/>
  <c r="F244" i="1"/>
  <c r="F245" i="1"/>
  <c r="F246" i="1"/>
  <c r="F247" i="1"/>
  <c r="F248" i="1"/>
  <c r="F252" i="1"/>
  <c r="F253" i="1"/>
  <c r="F254" i="1"/>
  <c r="F255" i="1"/>
  <c r="F256" i="1"/>
  <c r="F234" i="1"/>
  <c r="F235" i="1"/>
  <c r="F236" i="1"/>
  <c r="F237" i="1"/>
  <c r="F238" i="1"/>
  <c r="F219" i="1"/>
  <c r="F220" i="1"/>
  <c r="F206" i="1"/>
  <c r="F207" i="1"/>
  <c r="F209" i="1"/>
  <c r="F210" i="1"/>
  <c r="F194" i="1"/>
  <c r="F190" i="1"/>
  <c r="F191" i="1"/>
  <c r="G212" i="1"/>
  <c r="I200" i="1"/>
  <c r="H204" i="1"/>
  <c r="G192" i="1"/>
  <c r="I104" i="1"/>
  <c r="I96" i="1"/>
  <c r="F96" i="1" s="1"/>
  <c r="I57" i="1"/>
  <c r="I64" i="1"/>
  <c r="I22" i="1"/>
  <c r="I29" i="1"/>
  <c r="F98" i="1"/>
  <c r="F99" i="1"/>
  <c r="F100" i="1"/>
  <c r="F101" i="1"/>
  <c r="F102" i="1"/>
  <c r="F103" i="1"/>
  <c r="F95" i="1"/>
  <c r="F93" i="1"/>
  <c r="F92" i="1"/>
  <c r="F91" i="1"/>
  <c r="F90" i="1"/>
  <c r="F76" i="1"/>
  <c r="F74" i="1"/>
  <c r="F51" i="1"/>
  <c r="F57" i="1" s="1"/>
  <c r="F58" i="1"/>
  <c r="F64" i="1" s="1"/>
  <c r="F66" i="1"/>
  <c r="F67" i="1"/>
  <c r="F68" i="1"/>
  <c r="F69" i="1"/>
  <c r="F70" i="1"/>
  <c r="G45" i="1"/>
  <c r="G49" i="1" s="1"/>
  <c r="F39" i="1"/>
  <c r="F40" i="1"/>
  <c r="F41" i="1"/>
  <c r="F42" i="1"/>
  <c r="F43" i="1"/>
  <c r="F44" i="1"/>
  <c r="I45" i="1"/>
  <c r="I49" i="1" s="1"/>
  <c r="H45" i="1"/>
  <c r="H49" i="1" s="1"/>
  <c r="J30" i="1"/>
  <c r="G22" i="1"/>
  <c r="G29" i="1"/>
  <c r="F16" i="1"/>
  <c r="F22" i="1" s="1"/>
  <c r="F211" i="1" l="1"/>
  <c r="I450" i="1"/>
  <c r="F477" i="1"/>
  <c r="G331" i="1"/>
  <c r="I302" i="1"/>
  <c r="F243" i="1"/>
  <c r="F249" i="1" s="1"/>
  <c r="I71" i="1"/>
  <c r="I72" i="1" s="1"/>
  <c r="I239" i="1"/>
  <c r="I331" i="1" s="1"/>
  <c r="F23" i="1"/>
  <c r="F29" i="1" s="1"/>
  <c r="F30" i="1" s="1"/>
  <c r="H450" i="1"/>
  <c r="F365" i="1"/>
  <c r="F371" i="1" s="1"/>
  <c r="F456" i="1"/>
  <c r="F462" i="1" s="1"/>
  <c r="F225" i="1"/>
  <c r="F343" i="1"/>
  <c r="F349" i="1" s="1"/>
  <c r="F586" i="1"/>
  <c r="F364" i="1"/>
  <c r="H281" i="1"/>
  <c r="H302" i="1" s="1"/>
  <c r="I549" i="1"/>
  <c r="F549" i="1" s="1"/>
  <c r="I652" i="1"/>
  <c r="F652" i="1" s="1"/>
  <c r="I515" i="1"/>
  <c r="J385" i="1"/>
  <c r="J453" i="1" s="1"/>
  <c r="F281" i="1"/>
  <c r="F620" i="1"/>
  <c r="F626" i="1" s="1"/>
  <c r="F288" i="1"/>
  <c r="H647" i="1"/>
  <c r="H653" i="1" s="1"/>
  <c r="I647" i="1"/>
  <c r="H265" i="1"/>
  <c r="I30" i="1"/>
  <c r="F357" i="1"/>
  <c r="I147" i="1"/>
  <c r="I182" i="1" s="1"/>
  <c r="H385" i="1"/>
  <c r="H453" i="1" s="1"/>
  <c r="H30" i="1"/>
  <c r="H105" i="1" s="1"/>
  <c r="F444" i="1"/>
  <c r="F450" i="1" s="1"/>
  <c r="F328" i="1"/>
  <c r="F565" i="1"/>
  <c r="F633" i="1"/>
  <c r="F80" i="1"/>
  <c r="F192" i="1"/>
  <c r="F251" i="1"/>
  <c r="F257" i="1" s="1"/>
  <c r="F433" i="1"/>
  <c r="F500" i="1"/>
  <c r="F524" i="1"/>
  <c r="F532" i="1" s="1"/>
  <c r="F558" i="1"/>
  <c r="I484" i="1"/>
  <c r="F642" i="1"/>
  <c r="F643" i="1" s="1"/>
  <c r="H634" i="1"/>
  <c r="H645" i="1" s="1"/>
  <c r="I88" i="1"/>
  <c r="F88" i="1" s="1"/>
  <c r="F193" i="1"/>
  <c r="F199" i="1" s="1"/>
  <c r="H484" i="1"/>
  <c r="H603" i="1" s="1"/>
  <c r="G30" i="1"/>
  <c r="F310" i="1"/>
  <c r="F311" i="1" s="1"/>
  <c r="F409" i="1"/>
  <c r="F394" i="1"/>
  <c r="F476" i="1"/>
  <c r="F548" i="1"/>
  <c r="F579" i="1"/>
  <c r="G634" i="1"/>
  <c r="G645" i="1" s="1"/>
  <c r="F134" i="1"/>
  <c r="F140" i="1" s="1"/>
  <c r="I441" i="1"/>
  <c r="F212" i="1"/>
  <c r="F440" i="1"/>
  <c r="F426" i="1"/>
  <c r="F483" i="1"/>
  <c r="F463" i="1"/>
  <c r="F469" i="1" s="1"/>
  <c r="F493" i="1"/>
  <c r="F541" i="1"/>
  <c r="I601" i="1"/>
  <c r="F601" i="1" s="1"/>
  <c r="F619" i="1"/>
  <c r="I410" i="1"/>
  <c r="I385" i="1"/>
  <c r="F419" i="1"/>
  <c r="F45" i="1"/>
  <c r="F49" i="1" s="1"/>
  <c r="F239" i="1"/>
  <c r="F572" i="1"/>
  <c r="F593" i="1"/>
  <c r="J634" i="1"/>
  <c r="J645" i="1" s="1"/>
  <c r="F87" i="1"/>
  <c r="F401" i="1"/>
  <c r="F295" i="1"/>
  <c r="H182" i="1"/>
  <c r="F319" i="1"/>
  <c r="F320" i="1" s="1"/>
  <c r="I634" i="1"/>
  <c r="I645" i="1" s="1"/>
  <c r="F612" i="1"/>
  <c r="F648" i="1"/>
  <c r="F71" i="1"/>
  <c r="F72" i="1" s="1"/>
  <c r="F104" i="1"/>
  <c r="F147" i="1"/>
  <c r="F268" i="1"/>
  <c r="F274" i="1" s="1"/>
  <c r="F200" i="1"/>
  <c r="I653" i="1" l="1"/>
  <c r="F302" i="1"/>
  <c r="H331" i="1"/>
  <c r="F331" i="1" s="1"/>
  <c r="F410" i="1"/>
  <c r="I453" i="1"/>
  <c r="F453" i="1" s="1"/>
  <c r="F451" i="1"/>
  <c r="F484" i="1"/>
  <c r="I603" i="1"/>
  <c r="F603" i="1" s="1"/>
  <c r="I105" i="1"/>
  <c r="I183" i="1" s="1"/>
  <c r="H183" i="1"/>
  <c r="F441" i="1"/>
  <c r="F182" i="1"/>
  <c r="F265" i="1"/>
  <c r="F385" i="1"/>
  <c r="F634" i="1"/>
  <c r="F645" i="1" s="1"/>
  <c r="F515" i="1"/>
  <c r="F647" i="1"/>
  <c r="F653" i="1" s="1"/>
  <c r="F183" i="1" l="1"/>
  <c r="F105" i="1"/>
</calcChain>
</file>

<file path=xl/sharedStrings.xml><?xml version="1.0" encoding="utf-8"?>
<sst xmlns="http://schemas.openxmlformats.org/spreadsheetml/2006/main" count="803" uniqueCount="338">
  <si>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</si>
  <si>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</si>
  <si>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</si>
  <si>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</si>
  <si>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</si>
  <si>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</si>
  <si>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</si>
  <si>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</si>
  <si>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</si>
  <si>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</si>
  <si>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</si>
  <si>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</si>
  <si>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</si>
  <si>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</si>
  <si>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</si>
  <si>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</si>
  <si>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</si>
  <si>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</si>
  <si>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</si>
  <si>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</si>
  <si>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</si>
  <si>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1.2.1</t>
  </si>
  <si>
    <t>1.2.2</t>
  </si>
  <si>
    <t>ИТОГО по п. 1.2.</t>
  </si>
  <si>
    <t>1.3. Обеспечение функционирования дошкольных образовательных организаций</t>
  </si>
  <si>
    <t>1.3.1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</si>
  <si>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</si>
  <si>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>1.3.2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</si>
  <si>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</si>
  <si>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</si>
  <si>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</si>
  <si>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</si>
  <si>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1.4.1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</si>
  <si>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</si>
  <si>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</si>
  <si>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1.5.1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</si>
  <si>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</si>
  <si>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</si>
  <si>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1.6.1</t>
  </si>
  <si>
    <t>Приобретение оборудования для организации обучения детей – инвалидов в дошкольных образовательных организациях</t>
  </si>
  <si>
    <t>2.1.1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</si>
  <si>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</si>
  <si>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</si>
  <si>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</si>
  <si>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</si>
  <si>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</si>
  <si>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3.1.1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</si>
  <si>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</si>
  <si>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</si>
  <si>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3.1.2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</si>
  <si>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</si>
  <si>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</si>
  <si>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</si>
  <si>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</si>
  <si>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3.2.1.1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</si>
  <si>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</si>
  <si>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</si>
  <si>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</si>
  <si>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</si>
  <si>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</si>
  <si>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</si>
  <si>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</si>
  <si>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3.2.3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</si>
  <si>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</si>
  <si>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3.2.4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</si>
  <si>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</si>
  <si>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</si>
  <si>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</si>
  <si>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3.2.5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</si>
  <si>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</si>
  <si>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</si>
  <si>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</si>
  <si>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</si>
  <si>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</si>
  <si>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</si>
  <si>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</si>
  <si>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Тепловая и электрическая энергия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</si>
  <si>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</si>
  <si>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</si>
  <si>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</si>
  <si>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</si>
  <si>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2.2.1</t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</si>
  <si>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</si>
  <si>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</si>
  <si>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</si>
  <si>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3.1.3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</si>
  <si>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</si>
  <si>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</si>
  <si>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t>2.1.2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</si>
  <si>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</si>
  <si>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</si>
  <si>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</si>
  <si>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</si>
  <si>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</si>
  <si>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</si>
  <si>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</si>
  <si>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</si>
  <si>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</si>
  <si>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</si>
  <si>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</si>
  <si>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</si>
  <si>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</si>
  <si>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</si>
  <si>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</si>
  <si>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</si>
  <si>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</si>
  <si>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</si>
  <si>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селе.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</si>
  <si>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</si>
  <si>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</si>
  <si>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2.1.3</t>
  </si>
  <si>
    <t>Переход на конкурсную основу  отбора руководителей образовательных организаций</t>
  </si>
  <si>
    <t>2.1.4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</si>
  <si>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</si>
  <si>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</si>
  <si>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</si>
  <si>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</si>
  <si>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</si>
  <si>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</si>
  <si>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</si>
  <si>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</si>
  <si>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5.1.2</t>
  </si>
  <si>
    <t>5.1.3</t>
  </si>
  <si>
    <t>5.1.4</t>
  </si>
  <si>
    <t>Участие педагогов в областных  конференциях, педагогических чтениях, круглых столах</t>
  </si>
  <si>
    <t>5.1.5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</si>
  <si>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</si>
  <si>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5.1.7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</si>
  <si>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</si>
  <si>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</si>
  <si>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</si>
  <si>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</si>
  <si>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</si>
  <si>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</si>
  <si>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Создание условий для функционирования лагерей с питанием:Страхование, дератизация, акарицидная обработка, средства оказания первой медицинской помощи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</si>
  <si>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</si>
  <si>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</si>
  <si>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</si>
  <si>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</si>
  <si>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</si>
  <si>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</si>
  <si>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</si>
  <si>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</si>
  <si>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</si>
  <si>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</si>
  <si>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</si>
  <si>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</si>
  <si>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МБУ МО "Холмский городской округ" "Отдел капитального строительства"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</si>
  <si>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</si>
  <si>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</si>
  <si>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1.3.3</t>
  </si>
  <si>
    <t>1.2. Капитальный ремонт зданий функционирующих общеобразовательных организаций</t>
  </si>
  <si>
    <t>4.1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</si>
  <si>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</si>
  <si>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</si>
  <si>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</si>
  <si>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</si>
  <si>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</si>
  <si>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</si>
  <si>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1.4.2</t>
  </si>
  <si>
    <t>2.2.5</t>
  </si>
  <si>
    <t>3.2.6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</si>
  <si>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</si>
  <si>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>1.4.1.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</si>
  <si>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</si>
  <si>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</si>
  <si>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</si>
  <si>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</si>
  <si>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</si>
  <si>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</si>
  <si>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</si>
  <si>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</si>
  <si>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</si>
  <si>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</si>
  <si>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</si>
  <si>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</si>
  <si>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</si>
  <si>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</si>
  <si>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</si>
  <si>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</si>
  <si>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</si>
  <si>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</si>
  <si>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заработной плате в регионе; повысится качество кадрового состава общего образования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</si>
  <si>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</si>
  <si>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</si>
  <si>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2.3.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</si>
  <si>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</si>
  <si>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</si>
  <si>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</si>
  <si>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</si>
  <si>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</si>
  <si>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</si>
  <si>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</si>
  <si>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</si>
  <si>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</si>
  <si>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</si>
  <si>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</si>
  <si>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</si>
  <si>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</si>
  <si>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</si>
  <si>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</si>
  <si>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</si>
  <si>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</si>
  <si>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</si>
  <si>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</si>
  <si>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</si>
  <si>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</si>
  <si>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</si>
  <si>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</si>
  <si>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</si>
  <si>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</si>
  <si>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</si>
  <si>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</si>
  <si>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</si>
  <si>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</si>
  <si>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</si>
  <si>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</si>
  <si>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</si>
  <si>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</si>
  <si>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</si>
  <si>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</si>
  <si>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1.4 Обеспечение функционирования общеобразовательных учреждений, в том числе с учетом современных требований энергоэффективности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</si>
  <si>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</si>
  <si>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</si>
  <si>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</si>
  <si>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</si>
  <si>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</si>
  <si>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</si>
  <si>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</si>
  <si>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</si>
  <si>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</si>
  <si>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</si>
  <si>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</si>
  <si>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</si>
  <si>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</si>
  <si>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</si>
  <si>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</si>
  <si>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</si>
  <si>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</si>
  <si>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</si>
  <si>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</si>
  <si>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</si>
  <si>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</si>
  <si>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</si>
  <si>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</si>
  <si>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</si>
  <si>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</si>
  <si>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</si>
  <si>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</si>
  <si>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</si>
  <si>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</si>
  <si>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</si>
  <si>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</si>
  <si>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</si>
  <si>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</si>
  <si>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</si>
  <si>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</si>
  <si>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</si>
  <si>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</si>
  <si>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</si>
  <si>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</si>
  <si>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</si>
  <si>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</si>
  <si>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</si>
  <si>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</si>
  <si>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</si>
  <si>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</si>
  <si>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</si>
  <si>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</si>
  <si>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</si>
  <si>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</si>
  <si>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</si>
  <si>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</si>
  <si>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</si>
  <si>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</si>
  <si>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</si>
  <si>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>Конкурсный отбор общеобразовательных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</si>
  <si>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</si>
  <si>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5.1.6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</si>
  <si>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</si>
  <si>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</si>
  <si>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</si>
  <si>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</si>
  <si>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</si>
  <si>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</si>
  <si>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4»</t>
  </si>
  <si>
    <t>1.2.3.</t>
  </si>
  <si>
    <t>Укрепление материально – технической базы образовательных учреждений. «Капитальный ремонт купола зимнего сада МБДОУ детского сада «Теремок» г. Холмска»</t>
  </si>
  <si>
    <t>3.1.5.</t>
  </si>
  <si>
    <t>добавлена строка</t>
  </si>
  <si>
    <t>Обеспечение пожарной безопасности на территориях образовательных организаций и ликвидация травмоопасных факторов</t>
  </si>
  <si>
    <t>не было</t>
  </si>
  <si>
    <t>изменено</t>
  </si>
  <si>
    <t>и добавлена фраза в строке</t>
  </si>
  <si>
    <t>не убир.4244,7</t>
  </si>
  <si>
    <t>изменено название строки</t>
  </si>
  <si>
    <t>и изменено название строки</t>
  </si>
  <si>
    <t>с ОСОШ(516,3)</t>
  </si>
  <si>
    <t>с ОСОШ(420,0)</t>
  </si>
  <si>
    <t>не поменялось</t>
  </si>
  <si>
    <t>убрано 42 в отдельную строку</t>
  </si>
  <si>
    <t>не убираем 5224,9</t>
  </si>
  <si>
    <t>не убираем 1020,0</t>
  </si>
  <si>
    <t>не убираем 130,4</t>
  </si>
  <si>
    <t>не убираем 296,6</t>
  </si>
  <si>
    <t xml:space="preserve">убрано </t>
  </si>
  <si>
    <t>убрано</t>
  </si>
  <si>
    <t>убрали</t>
  </si>
  <si>
    <t>с ОСОШ (200,0)</t>
  </si>
  <si>
    <t>изменилось</t>
  </si>
  <si>
    <t>не изменилось</t>
  </si>
  <si>
    <t>Убрали ОБ</t>
  </si>
  <si>
    <t>не убираем 494,6</t>
  </si>
  <si>
    <t>с ОСОШ (300,0)</t>
  </si>
  <si>
    <t>нет в росписи</t>
  </si>
  <si>
    <t>убоали</t>
  </si>
  <si>
    <t>доб.МБ</t>
  </si>
  <si>
    <t>убр.329,1 МБ</t>
  </si>
  <si>
    <t>доб.ОБ и МБ</t>
  </si>
  <si>
    <t>доб.329,1</t>
  </si>
  <si>
    <t>с ОСОШ (444,4+27723)</t>
  </si>
  <si>
    <t>с ОСОШ (511,6+ 18191,2)</t>
  </si>
  <si>
    <t>с ОСОШ (532,0+20598,9)</t>
  </si>
  <si>
    <t>с ОСОШ(8463,0 + 462558,2)</t>
  </si>
  <si>
    <t>с ОСОШ(7313,+399429,7)</t>
  </si>
  <si>
    <t>с ОСОШ(7668,4+418887,9)</t>
  </si>
  <si>
    <t>с ОСОШ(420,0+11926)</t>
  </si>
  <si>
    <t>убрали 707 и 500</t>
  </si>
  <si>
    <t>доб.15,9</t>
  </si>
  <si>
    <t>доб.212,8</t>
  </si>
  <si>
    <t>доб.232,5</t>
  </si>
  <si>
    <t>доб.23</t>
  </si>
  <si>
    <t>сняли 23</t>
  </si>
  <si>
    <t>отдаем 51,8</t>
  </si>
  <si>
    <t>не убираем  ОБ 369,0 и 1346,2, только МБ</t>
  </si>
  <si>
    <t>на атитеррор по СОШ убрали</t>
  </si>
  <si>
    <t>Укрепление материально – технической базы образовательных учреждений. Капитальный ремонт МАОУ СОШ с. Яблочное (фасад)</t>
  </si>
  <si>
    <t>"Строительство мастерских МБОУ СОШ № 9 г.Холмска", расположенных по адресу: Сахалинская область, г.Холмск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</si>
</sst>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3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164" fontId="2" fillId="0" borderId="2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2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0" fillId="0" borderId="3" xfId="0" applyFill="1" applyBorder="1" applyAlignment="1"/>
    <xf numFmtId="164" fontId="3" fillId="0" borderId="30" xfId="0" applyNumberFormat="1" applyFont="1" applyFill="1" applyBorder="1" applyAlignment="1">
      <alignment horizontal="right" vertical="top" wrapText="1"/>
    </xf>
    <xf numFmtId="0" fontId="8" fillId="0" borderId="42" xfId="0" applyFont="1" applyFill="1" applyBorder="1" applyAlignment="1">
      <alignment horizontal="justify" vertical="top" wrapText="1"/>
    </xf>
    <xf numFmtId="164" fontId="8" fillId="0" borderId="42" xfId="0" applyNumberFormat="1" applyFont="1" applyFill="1" applyBorder="1" applyAlignment="1">
      <alignment horizontal="right" vertical="top" wrapText="1"/>
    </xf>
    <xf numFmtId="164" fontId="8" fillId="0" borderId="42" xfId="0" applyNumberFormat="1" applyFont="1" applyFill="1" applyBorder="1" applyAlignment="1">
      <alignment horizontal="justify" vertical="top" wrapText="1"/>
    </xf>
    <xf numFmtId="0" fontId="8" fillId="0" borderId="43" xfId="0" applyFont="1" applyFill="1" applyBorder="1" applyAlignment="1">
      <alignment horizontal="justify" vertical="top" wrapText="1"/>
    </xf>
    <xf numFmtId="0" fontId="16" fillId="0" borderId="42" xfId="0" applyFont="1" applyFill="1" applyBorder="1" applyAlignment="1">
      <alignment horizontal="justify" vertical="top" wrapText="1"/>
    </xf>
    <xf numFmtId="164" fontId="11" fillId="0" borderId="42" xfId="0" applyNumberFormat="1" applyFont="1" applyFill="1" applyBorder="1" applyAlignment="1">
      <alignment horizontal="justify" vertical="top" wrapText="1"/>
    </xf>
    <xf numFmtId="0" fontId="11" fillId="0" borderId="43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42" xfId="0" applyNumberFormat="1" applyFont="1" applyFill="1" applyBorder="1"/>
    <xf numFmtId="0" fontId="2" fillId="0" borderId="43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0" fillId="0" borderId="2" xfId="0" applyFill="1" applyBorder="1" applyAlignment="1"/>
    <xf numFmtId="0" fontId="0" fillId="0" borderId="2" xfId="0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49" fontId="22" fillId="0" borderId="17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10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4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49" fontId="0" fillId="0" borderId="13" xfId="0" applyNumberFormat="1" applyFill="1" applyBorder="1" applyAlignment="1"/>
    <xf numFmtId="0" fontId="2" fillId="0" borderId="33" xfId="0" applyFont="1" applyFill="1" applyBorder="1" applyAlignment="1">
      <alignment wrapText="1"/>
    </xf>
    <xf numFmtId="0" fontId="9" fillId="0" borderId="3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7" fillId="0" borderId="41" xfId="0" applyFont="1" applyFill="1" applyBorder="1" applyAlignment="1">
      <alignment wrapText="1"/>
    </xf>
    <xf numFmtId="0" fontId="9" fillId="0" borderId="42" xfId="0" applyFont="1" applyFill="1" applyBorder="1" applyAlignment="1">
      <alignment wrapText="1"/>
    </xf>
    <xf numFmtId="0" fontId="9" fillId="0" borderId="43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34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9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0" fillId="0" borderId="2" xfId="0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3" fillId="0" borderId="3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/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10" xfId="0" applyFont="1" applyFill="1" applyBorder="1" applyAlignment="1">
      <alignment horizontal="justify" wrapText="1"/>
    </xf>
    <xf numFmtId="0" fontId="9" fillId="0" borderId="24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0" fillId="0" borderId="39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7" fillId="0" borderId="31" xfId="0" applyFont="1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9" fillId="0" borderId="26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0" fontId="14" fillId="0" borderId="41" xfId="0" applyFont="1" applyFill="1" applyBorder="1" applyAlignment="1">
      <alignment horizontal="justify" vertical="top" wrapText="1"/>
    </xf>
    <xf numFmtId="0" fontId="28" fillId="0" borderId="42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14" fillId="0" borderId="34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19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49" fontId="3" fillId="0" borderId="1" xfId="0" applyNumberFormat="1" applyFont="1" applyFill="1" applyBorder="1" applyAlignment="1"/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7" fillId="0" borderId="41" xfId="0" applyFont="1" applyFill="1" applyBorder="1" applyAlignment="1">
      <alignment horizontal="justify" vertical="top" wrapText="1"/>
    </xf>
    <xf numFmtId="0" fontId="9" fillId="0" borderId="4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/>
    <xf numFmtId="49" fontId="9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7" fillId="0" borderId="35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" fillId="0" borderId="10" xfId="0" applyFont="1" applyFill="1" applyBorder="1" applyAlignment="1">
      <alignment horizontal="justify" wrapText="1"/>
    </xf>
    <xf numFmtId="0" fontId="9" fillId="0" borderId="10" xfId="0" applyFont="1" applyFill="1" applyBorder="1" applyAlignment="1"/>
    <xf numFmtId="0" fontId="0" fillId="0" borderId="24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2" fillId="0" borderId="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0" fillId="0" borderId="33" xfId="0" applyFont="1" applyFill="1" applyBorder="1" applyAlignment="1">
      <alignment horizontal="justify" wrapText="1"/>
    </xf>
    <xf numFmtId="0" fontId="0" fillId="0" borderId="32" xfId="0" applyFill="1" applyBorder="1" applyAlignment="1">
      <alignment horizontal="justify" wrapText="1"/>
    </xf>
    <xf numFmtId="0" fontId="0" fillId="0" borderId="25" xfId="0" applyFill="1" applyBorder="1" applyAlignment="1">
      <alignment horizontal="justify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10" fillId="0" borderId="36" xfId="0" applyFont="1" applyFill="1" applyBorder="1" applyAlignment="1">
      <alignment horizontal="justify" wrapText="1"/>
    </xf>
    <xf numFmtId="0" fontId="0" fillId="0" borderId="37" xfId="0" applyFill="1" applyBorder="1" applyAlignment="1">
      <alignment horizontal="justify" wrapText="1"/>
    </xf>
    <xf numFmtId="0" fontId="0" fillId="0" borderId="38" xfId="0" applyFill="1" applyBorder="1" applyAlignment="1">
      <alignment horizontal="justify" wrapText="1"/>
    </xf>
    <xf numFmtId="0" fontId="2" fillId="0" borderId="26" xfId="0" applyFont="1" applyFill="1" applyBorder="1" applyAlignment="1">
      <alignment horizontal="justify" wrapText="1"/>
    </xf>
    <xf numFmtId="0" fontId="9" fillId="0" borderId="21" xfId="0" applyFont="1" applyFill="1" applyBorder="1" applyAlignment="1">
      <alignment horizontal="justify" wrapText="1"/>
    </xf>
    <xf numFmtId="49" fontId="10" fillId="0" borderId="19" xfId="0" applyNumberFormat="1" applyFont="1" applyFill="1" applyBorder="1" applyAlignment="1">
      <alignment horizontal="justify" wrapText="1"/>
    </xf>
    <xf numFmtId="0" fontId="0" fillId="0" borderId="3" xfId="0" applyFill="1" applyBorder="1" applyAlignment="1">
      <alignment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horizontal="justify" vertical="top" wrapText="1"/>
    </xf>
    <xf numFmtId="0" fontId="22" fillId="0" borderId="7" xfId="0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justify" wrapText="1"/>
    </xf>
    <xf numFmtId="0" fontId="0" fillId="0" borderId="17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55"/>
  <sheetViews>
    <sheetView tabSelected="1" view="pageBreakPreview" topLeftCell="A640" zoomScaleNormal="100" zoomScaleSheetLayoutView="100" workbookViewId="0">
      <selection activeCell="J653" sqref="J653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10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0.140625" style="4" bestFit="1" customWidth="1"/>
    <col min="13" max="16384" width="9.140625" style="4"/>
  </cols>
  <sheetData>
    <row r="1" spans="1:26" ht="19.5" customHeight="1" x14ac:dyDescent="0.2">
      <c r="H1" s="237" t="s">
        <v>279</v>
      </c>
      <c r="I1" s="237"/>
      <c r="J1" s="237"/>
      <c r="K1" s="237"/>
    </row>
    <row r="2" spans="1:26" ht="24" customHeight="1" x14ac:dyDescent="0.2">
      <c r="H2" s="238" t="s">
        <v>280</v>
      </c>
      <c r="I2" s="239"/>
      <c r="J2" s="239"/>
      <c r="K2" s="239"/>
    </row>
    <row r="3" spans="1:26" ht="15.75" customHeight="1" x14ac:dyDescent="0.2">
      <c r="C3" s="142"/>
      <c r="F3" s="142"/>
      <c r="G3" s="142"/>
      <c r="H3" s="142"/>
    </row>
    <row r="4" spans="1:26" ht="15.75" x14ac:dyDescent="0.25">
      <c r="C4" s="29"/>
    </row>
    <row r="5" spans="1:26" ht="12.75" customHeight="1" x14ac:dyDescent="0.25">
      <c r="A5" s="244" t="s">
        <v>143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26" ht="12.75" customHeight="1" x14ac:dyDescent="0.25">
      <c r="A6" s="244" t="s">
        <v>144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</row>
    <row r="7" spans="1:26" ht="12.75" customHeight="1" x14ac:dyDescent="0.25">
      <c r="A7" s="244" t="s">
        <v>145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</row>
    <row r="10" spans="1:26" ht="18" customHeight="1" x14ac:dyDescent="0.25">
      <c r="A10" s="240" t="s">
        <v>2</v>
      </c>
      <c r="B10" s="240" t="s">
        <v>3</v>
      </c>
      <c r="C10" s="240" t="s">
        <v>4</v>
      </c>
      <c r="D10" s="240" t="s">
        <v>5</v>
      </c>
      <c r="E10" s="240" t="s">
        <v>6</v>
      </c>
      <c r="F10" s="240" t="s">
        <v>7</v>
      </c>
      <c r="G10" s="240"/>
      <c r="H10" s="240"/>
      <c r="I10" s="240"/>
      <c r="J10" s="240"/>
      <c r="K10" s="240" t="s">
        <v>8</v>
      </c>
    </row>
    <row r="11" spans="1:26" ht="45" x14ac:dyDescent="0.25">
      <c r="A11" s="240"/>
      <c r="B11" s="240"/>
      <c r="C11" s="240"/>
      <c r="D11" s="240"/>
      <c r="E11" s="240"/>
      <c r="F11" s="143" t="s">
        <v>9</v>
      </c>
      <c r="G11" s="143" t="s">
        <v>10</v>
      </c>
      <c r="H11" s="143" t="s">
        <v>11</v>
      </c>
      <c r="I11" s="143" t="s">
        <v>12</v>
      </c>
      <c r="J11" s="143" t="s">
        <v>13</v>
      </c>
      <c r="K11" s="240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242" t="s">
        <v>14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5.75" x14ac:dyDescent="0.25">
      <c r="A14" s="241" t="s">
        <v>15</v>
      </c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32.25" customHeight="1" thickBot="1" x14ac:dyDescent="0.25">
      <c r="A15" s="201" t="s">
        <v>269</v>
      </c>
      <c r="B15" s="189"/>
      <c r="C15" s="209"/>
      <c r="D15" s="209"/>
      <c r="E15" s="209"/>
      <c r="F15" s="209"/>
      <c r="G15" s="209"/>
      <c r="H15" s="209"/>
      <c r="I15" s="209"/>
      <c r="J15" s="209"/>
      <c r="K15" s="209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</row>
    <row r="16" spans="1:26" ht="15" x14ac:dyDescent="0.25">
      <c r="A16" s="220" t="s">
        <v>16</v>
      </c>
      <c r="B16" s="224" t="s">
        <v>17</v>
      </c>
      <c r="C16" s="226">
        <v>2015</v>
      </c>
      <c r="D16" s="229" t="s">
        <v>147</v>
      </c>
      <c r="E16" s="137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161" t="s">
        <v>141</v>
      </c>
    </row>
    <row r="17" spans="1:26" ht="15" x14ac:dyDescent="0.25">
      <c r="A17" s="220"/>
      <c r="B17" s="225"/>
      <c r="C17" s="227"/>
      <c r="D17" s="230"/>
      <c r="E17" s="137">
        <v>2016</v>
      </c>
      <c r="F17" s="7"/>
      <c r="G17" s="7"/>
      <c r="H17" s="7"/>
      <c r="I17" s="7"/>
      <c r="J17" s="7"/>
      <c r="K17" s="162"/>
    </row>
    <row r="18" spans="1:26" ht="20.25" customHeight="1" x14ac:dyDescent="0.25">
      <c r="A18" s="220"/>
      <c r="B18" s="225"/>
      <c r="C18" s="227"/>
      <c r="D18" s="230"/>
      <c r="E18" s="137">
        <v>2017</v>
      </c>
      <c r="F18" s="7"/>
      <c r="G18" s="7"/>
      <c r="H18" s="7"/>
      <c r="I18" s="7"/>
      <c r="J18" s="7"/>
      <c r="K18" s="162"/>
    </row>
    <row r="19" spans="1:26" ht="18.75" customHeight="1" x14ac:dyDescent="0.25">
      <c r="A19" s="220"/>
      <c r="B19" s="225"/>
      <c r="C19" s="227"/>
      <c r="D19" s="230"/>
      <c r="E19" s="137">
        <v>2018</v>
      </c>
      <c r="F19" s="7"/>
      <c r="G19" s="7"/>
      <c r="H19" s="7"/>
      <c r="I19" s="7"/>
      <c r="J19" s="7"/>
      <c r="K19" s="162"/>
    </row>
    <row r="20" spans="1:26" ht="15" customHeight="1" x14ac:dyDescent="0.25">
      <c r="A20" s="220"/>
      <c r="B20" s="225"/>
      <c r="C20" s="227"/>
      <c r="D20" s="230"/>
      <c r="E20" s="137">
        <v>2019</v>
      </c>
      <c r="F20" s="7"/>
      <c r="G20" s="7"/>
      <c r="H20" s="7"/>
      <c r="I20" s="7"/>
      <c r="J20" s="7"/>
      <c r="K20" s="162"/>
    </row>
    <row r="21" spans="1:26" ht="17.25" customHeight="1" x14ac:dyDescent="0.25">
      <c r="A21" s="220"/>
      <c r="B21" s="225"/>
      <c r="C21" s="227"/>
      <c r="D21" s="230"/>
      <c r="E21" s="137">
        <v>2020</v>
      </c>
      <c r="F21" s="7"/>
      <c r="G21" s="7"/>
      <c r="H21" s="7"/>
      <c r="I21" s="7"/>
      <c r="J21" s="7"/>
      <c r="K21" s="162"/>
    </row>
    <row r="22" spans="1:26" ht="12.75" customHeight="1" x14ac:dyDescent="0.2">
      <c r="A22" s="220"/>
      <c r="B22" s="245"/>
      <c r="C22" s="227"/>
      <c r="D22" s="231"/>
      <c r="E22" s="24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165"/>
    </row>
    <row r="23" spans="1:26" ht="15" x14ac:dyDescent="0.25">
      <c r="A23" s="220" t="s">
        <v>19</v>
      </c>
      <c r="B23" s="224" t="s">
        <v>158</v>
      </c>
      <c r="C23" s="184">
        <v>2015</v>
      </c>
      <c r="D23" s="229" t="s">
        <v>147</v>
      </c>
      <c r="E23" s="137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161" t="s">
        <v>142</v>
      </c>
    </row>
    <row r="24" spans="1:26" ht="15" x14ac:dyDescent="0.25">
      <c r="A24" s="220"/>
      <c r="B24" s="225"/>
      <c r="C24" s="185"/>
      <c r="D24" s="230"/>
      <c r="E24" s="137">
        <v>2016</v>
      </c>
      <c r="F24" s="7"/>
      <c r="G24" s="7"/>
      <c r="H24" s="7"/>
      <c r="I24" s="7"/>
      <c r="J24" s="7"/>
      <c r="K24" s="162"/>
    </row>
    <row r="25" spans="1:26" ht="15" x14ac:dyDescent="0.25">
      <c r="A25" s="220"/>
      <c r="B25" s="225"/>
      <c r="C25" s="185"/>
      <c r="D25" s="230"/>
      <c r="E25" s="137">
        <v>2017</v>
      </c>
      <c r="F25" s="7"/>
      <c r="G25" s="7"/>
      <c r="H25" s="7"/>
      <c r="I25" s="7"/>
      <c r="J25" s="7"/>
      <c r="K25" s="162"/>
    </row>
    <row r="26" spans="1:26" ht="15" x14ac:dyDescent="0.25">
      <c r="A26" s="220"/>
      <c r="B26" s="225"/>
      <c r="C26" s="185"/>
      <c r="D26" s="230"/>
      <c r="E26" s="137">
        <v>2018</v>
      </c>
      <c r="F26" s="7"/>
      <c r="G26" s="7"/>
      <c r="H26" s="7"/>
      <c r="I26" s="7"/>
      <c r="J26" s="7"/>
      <c r="K26" s="162"/>
    </row>
    <row r="27" spans="1:26" ht="15" x14ac:dyDescent="0.25">
      <c r="A27" s="220"/>
      <c r="B27" s="225"/>
      <c r="C27" s="185"/>
      <c r="D27" s="230"/>
      <c r="E27" s="137">
        <v>2019</v>
      </c>
      <c r="F27" s="7"/>
      <c r="G27" s="7"/>
      <c r="H27" s="7"/>
      <c r="I27" s="7"/>
      <c r="J27" s="7"/>
      <c r="K27" s="162"/>
    </row>
    <row r="28" spans="1:26" ht="15" x14ac:dyDescent="0.25">
      <c r="A28" s="220"/>
      <c r="B28" s="225"/>
      <c r="C28" s="185"/>
      <c r="D28" s="230"/>
      <c r="E28" s="137">
        <v>2020</v>
      </c>
      <c r="F28" s="7"/>
      <c r="G28" s="7"/>
      <c r="H28" s="7"/>
      <c r="I28" s="7"/>
      <c r="J28" s="7"/>
      <c r="K28" s="162"/>
    </row>
    <row r="29" spans="1:26" ht="15" x14ac:dyDescent="0.25">
      <c r="A29" s="233"/>
      <c r="B29" s="245"/>
      <c r="C29" s="186"/>
      <c r="D29" s="231"/>
      <c r="E29" s="32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165"/>
    </row>
    <row r="30" spans="1:26" ht="14.25" x14ac:dyDescent="0.2">
      <c r="A30" s="249" t="s">
        <v>20</v>
      </c>
      <c r="B30" s="250"/>
      <c r="C30" s="250"/>
      <c r="D30" s="250"/>
      <c r="E30" s="135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35"/>
      <c r="L30" s="246"/>
      <c r="M30" s="246"/>
      <c r="N30" s="246"/>
      <c r="O30" s="246"/>
      <c r="P30" s="246"/>
      <c r="Q30" s="246"/>
      <c r="R30" s="246"/>
      <c r="S30" s="246"/>
      <c r="T30" s="246"/>
      <c r="U30" s="246"/>
      <c r="V30" s="246"/>
      <c r="W30" s="246"/>
      <c r="X30" s="246"/>
      <c r="Y30" s="246"/>
      <c r="Z30" s="246"/>
    </row>
    <row r="31" spans="1:26" ht="14.25" x14ac:dyDescent="0.2">
      <c r="A31" s="201" t="s">
        <v>270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</row>
    <row r="32" spans="1:26" x14ac:dyDescent="0.2">
      <c r="A32" s="197" t="s">
        <v>21</v>
      </c>
      <c r="B32" s="222" t="s">
        <v>148</v>
      </c>
      <c r="C32" s="176" t="s">
        <v>157</v>
      </c>
      <c r="D32" s="161" t="s">
        <v>255</v>
      </c>
      <c r="E32" s="141">
        <v>2015</v>
      </c>
      <c r="F32" s="1"/>
      <c r="G32" s="1"/>
      <c r="H32" s="1"/>
      <c r="I32" s="1"/>
      <c r="J32" s="1"/>
      <c r="K32" s="251" t="s">
        <v>140</v>
      </c>
    </row>
    <row r="33" spans="1:33" x14ac:dyDescent="0.2">
      <c r="A33" s="198"/>
      <c r="B33" s="247"/>
      <c r="C33" s="159"/>
      <c r="D33" s="162"/>
      <c r="E33" s="137">
        <v>2016</v>
      </c>
      <c r="F33" s="2"/>
      <c r="G33" s="2"/>
      <c r="H33" s="2"/>
      <c r="I33" s="2"/>
      <c r="J33" s="2"/>
      <c r="K33" s="251"/>
    </row>
    <row r="34" spans="1:33" x14ac:dyDescent="0.2">
      <c r="A34" s="198"/>
      <c r="B34" s="247"/>
      <c r="C34" s="159"/>
      <c r="D34" s="162"/>
      <c r="E34" s="137">
        <v>2017</v>
      </c>
      <c r="F34" s="2"/>
      <c r="G34" s="2"/>
      <c r="H34" s="2"/>
      <c r="I34" s="2"/>
      <c r="J34" s="2"/>
      <c r="K34" s="251"/>
    </row>
    <row r="35" spans="1:33" x14ac:dyDescent="0.2">
      <c r="A35" s="198"/>
      <c r="B35" s="247"/>
      <c r="C35" s="159"/>
      <c r="D35" s="162"/>
      <c r="E35" s="137">
        <v>2018</v>
      </c>
      <c r="F35" s="2"/>
      <c r="G35" s="2"/>
      <c r="H35" s="2"/>
      <c r="I35" s="2"/>
      <c r="J35" s="2"/>
      <c r="K35" s="251"/>
    </row>
    <row r="36" spans="1:33" x14ac:dyDescent="0.2">
      <c r="A36" s="198"/>
      <c r="B36" s="247"/>
      <c r="C36" s="159"/>
      <c r="D36" s="162"/>
      <c r="E36" s="137">
        <v>2019</v>
      </c>
      <c r="F36" s="2"/>
      <c r="G36" s="2"/>
      <c r="H36" s="2"/>
      <c r="I36" s="2"/>
      <c r="J36" s="2"/>
      <c r="K36" s="251"/>
    </row>
    <row r="37" spans="1:33" x14ac:dyDescent="0.2">
      <c r="A37" s="198"/>
      <c r="B37" s="247"/>
      <c r="C37" s="159"/>
      <c r="D37" s="162"/>
      <c r="E37" s="137">
        <v>2020</v>
      </c>
      <c r="F37" s="2"/>
      <c r="G37" s="2"/>
      <c r="H37" s="2"/>
      <c r="I37" s="2"/>
      <c r="J37" s="2"/>
      <c r="K37" s="251"/>
    </row>
    <row r="38" spans="1:33" ht="80.25" customHeight="1" x14ac:dyDescent="0.2">
      <c r="A38" s="198"/>
      <c r="B38" s="248"/>
      <c r="C38" s="187"/>
      <c r="D38" s="165"/>
      <c r="E38" s="24" t="s">
        <v>18</v>
      </c>
      <c r="F38" s="2"/>
      <c r="G38" s="2"/>
      <c r="H38" s="2"/>
      <c r="I38" s="2"/>
      <c r="J38" s="2"/>
      <c r="K38" s="251"/>
    </row>
    <row r="39" spans="1:33" ht="12.75" customHeight="1" x14ac:dyDescent="0.2">
      <c r="A39" s="256" t="s">
        <v>22</v>
      </c>
      <c r="B39" s="224" t="s">
        <v>149</v>
      </c>
      <c r="C39" s="184" t="s">
        <v>157</v>
      </c>
      <c r="D39" s="204" t="s">
        <v>255</v>
      </c>
      <c r="E39" s="137">
        <v>2015</v>
      </c>
      <c r="F39" s="14">
        <f>H39+I39</f>
        <v>505</v>
      </c>
      <c r="G39" s="14"/>
      <c r="H39" s="14">
        <v>500</v>
      </c>
      <c r="I39" s="14">
        <v>5</v>
      </c>
      <c r="J39" s="14"/>
      <c r="K39" s="251"/>
    </row>
    <row r="40" spans="1:33" x14ac:dyDescent="0.2">
      <c r="A40" s="256"/>
      <c r="B40" s="225"/>
      <c r="C40" s="185"/>
      <c r="D40" s="204"/>
      <c r="E40" s="137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251"/>
    </row>
    <row r="41" spans="1:33" x14ac:dyDescent="0.2">
      <c r="A41" s="256"/>
      <c r="B41" s="225"/>
      <c r="C41" s="185"/>
      <c r="D41" s="204"/>
      <c r="E41" s="137">
        <v>2017</v>
      </c>
      <c r="F41" s="14">
        <f>SUM(G41:J41)</f>
        <v>0</v>
      </c>
      <c r="G41" s="14"/>
      <c r="H41" s="14"/>
      <c r="I41" s="14"/>
      <c r="J41" s="14"/>
      <c r="K41" s="251"/>
    </row>
    <row r="42" spans="1:33" ht="16.5" customHeight="1" x14ac:dyDescent="0.2">
      <c r="A42" s="256"/>
      <c r="B42" s="225"/>
      <c r="C42" s="185"/>
      <c r="D42" s="204"/>
      <c r="E42" s="137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251"/>
      <c r="L42" s="125" t="s">
        <v>307</v>
      </c>
    </row>
    <row r="43" spans="1:33" x14ac:dyDescent="0.2">
      <c r="A43" s="256"/>
      <c r="B43" s="225"/>
      <c r="C43" s="185"/>
      <c r="D43" s="204"/>
      <c r="E43" s="137">
        <v>2019</v>
      </c>
      <c r="F43" s="14">
        <f>SUM(G43:J43)</f>
        <v>0</v>
      </c>
      <c r="G43" s="14"/>
      <c r="H43" s="14"/>
      <c r="I43" s="14"/>
      <c r="J43" s="14"/>
      <c r="K43" s="251"/>
    </row>
    <row r="44" spans="1:33" ht="15" customHeight="1" x14ac:dyDescent="0.2">
      <c r="A44" s="256"/>
      <c r="B44" s="225"/>
      <c r="C44" s="185"/>
      <c r="D44" s="204"/>
      <c r="E44" s="137">
        <v>2020</v>
      </c>
      <c r="F44" s="14">
        <f>SUM(G44:J44)</f>
        <v>12632</v>
      </c>
      <c r="G44" s="14"/>
      <c r="H44" s="14">
        <v>12000</v>
      </c>
      <c r="I44" s="14">
        <v>632</v>
      </c>
      <c r="J44" s="14"/>
      <c r="K44" s="251"/>
    </row>
    <row r="45" spans="1:33" ht="57" customHeight="1" x14ac:dyDescent="0.2">
      <c r="A45" s="256"/>
      <c r="B45" s="225"/>
      <c r="C45" s="185"/>
      <c r="D45" s="204"/>
      <c r="E45" s="32" t="s">
        <v>18</v>
      </c>
      <c r="F45" s="51">
        <f>SUM(F39:F44)</f>
        <v>13137</v>
      </c>
      <c r="G45" s="51">
        <f>SUM(G39:G44)</f>
        <v>0</v>
      </c>
      <c r="H45" s="51">
        <f>SUM(H39:H44)</f>
        <v>12500</v>
      </c>
      <c r="I45" s="51">
        <f>SUM(I39:I44)</f>
        <v>637</v>
      </c>
      <c r="J45" s="28"/>
      <c r="K45" s="251"/>
    </row>
    <row r="46" spans="1:33" x14ac:dyDescent="0.2">
      <c r="A46" s="234" t="s">
        <v>286</v>
      </c>
      <c r="B46" s="221" t="s">
        <v>287</v>
      </c>
      <c r="C46" s="158" t="s">
        <v>284</v>
      </c>
      <c r="D46" s="161" t="s">
        <v>255</v>
      </c>
      <c r="E46" s="137">
        <v>2016</v>
      </c>
      <c r="F46" s="14">
        <f t="shared" ref="F46:F47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251"/>
      <c r="L46" s="125" t="s">
        <v>335</v>
      </c>
    </row>
    <row r="47" spans="1:33" x14ac:dyDescent="0.2">
      <c r="A47" s="235"/>
      <c r="B47" s="222"/>
      <c r="C47" s="176"/>
      <c r="D47" s="162"/>
      <c r="E47" s="137">
        <v>2017</v>
      </c>
      <c r="F47" s="14">
        <f t="shared" si="0"/>
        <v>0</v>
      </c>
      <c r="G47" s="14"/>
      <c r="H47" s="14">
        <v>0</v>
      </c>
      <c r="I47" s="14">
        <v>0</v>
      </c>
      <c r="J47" s="14"/>
      <c r="K47" s="251"/>
    </row>
    <row r="48" spans="1:33" ht="85.5" customHeight="1" x14ac:dyDescent="0.2">
      <c r="A48" s="236"/>
      <c r="B48" s="223"/>
      <c r="C48" s="213"/>
      <c r="D48" s="165"/>
      <c r="E48" s="32" t="s">
        <v>18</v>
      </c>
      <c r="F48" s="51">
        <f>SUM(F46:F47)</f>
        <v>0</v>
      </c>
      <c r="G48" s="51">
        <f>SUM(G46:G47)</f>
        <v>0</v>
      </c>
      <c r="H48" s="51">
        <f>SUM(H46:H47)</f>
        <v>0</v>
      </c>
      <c r="I48" s="51">
        <f>SUM(I46:I47)</f>
        <v>0</v>
      </c>
      <c r="J48" s="28"/>
      <c r="K48" s="251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</row>
    <row r="49" spans="1:26" x14ac:dyDescent="0.2">
      <c r="A49" s="252" t="s">
        <v>23</v>
      </c>
      <c r="B49" s="253"/>
      <c r="C49" s="253"/>
      <c r="D49" s="254"/>
      <c r="E49" s="32"/>
      <c r="F49" s="51">
        <f>F48+F45</f>
        <v>13137</v>
      </c>
      <c r="G49" s="51">
        <f>G38+G45</f>
        <v>0</v>
      </c>
      <c r="H49" s="51">
        <f>H48+H45</f>
        <v>12500</v>
      </c>
      <c r="I49" s="51">
        <f>I48+I45</f>
        <v>637</v>
      </c>
      <c r="J49" s="28"/>
      <c r="K49" s="251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24.75" customHeight="1" x14ac:dyDescent="0.2">
      <c r="A50" s="255" t="s">
        <v>24</v>
      </c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4"/>
    </row>
    <row r="51" spans="1:26" ht="13.5" customHeight="1" x14ac:dyDescent="0.2">
      <c r="A51" s="197" t="s">
        <v>25</v>
      </c>
      <c r="B51" s="223" t="s">
        <v>26</v>
      </c>
      <c r="C51" s="213" t="s">
        <v>157</v>
      </c>
      <c r="D51" s="161" t="s">
        <v>255</v>
      </c>
      <c r="E51" s="141">
        <v>2015</v>
      </c>
      <c r="F51" s="12">
        <f>SUM(G51:I51)</f>
        <v>4863.4000000000005</v>
      </c>
      <c r="G51" s="12"/>
      <c r="H51" s="12">
        <v>4814.8</v>
      </c>
      <c r="I51" s="12">
        <v>48.6</v>
      </c>
      <c r="J51" s="12"/>
      <c r="K51" s="161" t="s">
        <v>170</v>
      </c>
    </row>
    <row r="52" spans="1:26" x14ac:dyDescent="0.2">
      <c r="A52" s="198"/>
      <c r="B52" s="225"/>
      <c r="C52" s="185"/>
      <c r="D52" s="162"/>
      <c r="E52" s="137">
        <v>2016</v>
      </c>
      <c r="F52" s="14"/>
      <c r="G52" s="14"/>
      <c r="H52" s="14"/>
      <c r="I52" s="14"/>
      <c r="J52" s="14"/>
      <c r="K52" s="162"/>
    </row>
    <row r="53" spans="1:26" x14ac:dyDescent="0.2">
      <c r="A53" s="198"/>
      <c r="B53" s="225"/>
      <c r="C53" s="185"/>
      <c r="D53" s="162"/>
      <c r="E53" s="137">
        <v>2017</v>
      </c>
      <c r="F53" s="14"/>
      <c r="G53" s="14"/>
      <c r="H53" s="14"/>
      <c r="I53" s="14"/>
      <c r="J53" s="14"/>
      <c r="K53" s="162"/>
    </row>
    <row r="54" spans="1:26" x14ac:dyDescent="0.2">
      <c r="A54" s="198"/>
      <c r="B54" s="225"/>
      <c r="C54" s="185"/>
      <c r="D54" s="162"/>
      <c r="E54" s="137">
        <v>2018</v>
      </c>
      <c r="F54" s="14"/>
      <c r="G54" s="14"/>
      <c r="H54" s="14"/>
      <c r="I54" s="14"/>
      <c r="J54" s="14"/>
      <c r="K54" s="162"/>
    </row>
    <row r="55" spans="1:26" x14ac:dyDescent="0.2">
      <c r="A55" s="198"/>
      <c r="B55" s="225"/>
      <c r="C55" s="185"/>
      <c r="D55" s="162"/>
      <c r="E55" s="137">
        <v>2019</v>
      </c>
      <c r="F55" s="14"/>
      <c r="G55" s="14"/>
      <c r="H55" s="14"/>
      <c r="I55" s="14"/>
      <c r="J55" s="14"/>
      <c r="K55" s="162"/>
    </row>
    <row r="56" spans="1:26" x14ac:dyDescent="0.2">
      <c r="A56" s="198"/>
      <c r="B56" s="225"/>
      <c r="C56" s="185"/>
      <c r="D56" s="162"/>
      <c r="E56" s="137">
        <v>2020</v>
      </c>
      <c r="F56" s="14"/>
      <c r="G56" s="14"/>
      <c r="H56" s="14"/>
      <c r="I56" s="14"/>
      <c r="J56" s="14"/>
      <c r="K56" s="162"/>
    </row>
    <row r="57" spans="1:26" ht="47.25" customHeight="1" x14ac:dyDescent="0.2">
      <c r="A57" s="198"/>
      <c r="B57" s="245"/>
      <c r="C57" s="186"/>
      <c r="D57" s="165"/>
      <c r="E57" s="24" t="s">
        <v>18</v>
      </c>
      <c r="F57" s="13">
        <f>SUM(F51:F56)</f>
        <v>4863.4000000000005</v>
      </c>
      <c r="G57" s="13"/>
      <c r="H57" s="13">
        <f>SUM(H51:H56)</f>
        <v>4814.8</v>
      </c>
      <c r="I57" s="13">
        <f>SUM(I51:I56)</f>
        <v>48.6</v>
      </c>
      <c r="J57" s="14"/>
      <c r="K57" s="162"/>
    </row>
    <row r="58" spans="1:26" ht="12.75" customHeight="1" x14ac:dyDescent="0.2">
      <c r="A58" s="198" t="s">
        <v>27</v>
      </c>
      <c r="B58" s="224" t="s">
        <v>28</v>
      </c>
      <c r="C58" s="184">
        <v>2015</v>
      </c>
      <c r="D58" s="161" t="s">
        <v>255</v>
      </c>
      <c r="E58" s="137">
        <v>2015</v>
      </c>
      <c r="F58" s="14">
        <f>SUM(G58:I58)</f>
        <v>1538.4</v>
      </c>
      <c r="G58" s="14"/>
      <c r="H58" s="14"/>
      <c r="I58" s="14">
        <v>1538.4</v>
      </c>
      <c r="J58" s="14"/>
      <c r="K58" s="162"/>
    </row>
    <row r="59" spans="1:26" x14ac:dyDescent="0.2">
      <c r="A59" s="198"/>
      <c r="B59" s="225"/>
      <c r="C59" s="185"/>
      <c r="D59" s="162"/>
      <c r="E59" s="137">
        <v>2016</v>
      </c>
      <c r="F59" s="14"/>
      <c r="G59" s="14"/>
      <c r="H59" s="14"/>
      <c r="I59" s="14"/>
      <c r="J59" s="14"/>
      <c r="K59" s="162"/>
    </row>
    <row r="60" spans="1:26" x14ac:dyDescent="0.2">
      <c r="A60" s="198"/>
      <c r="B60" s="225"/>
      <c r="C60" s="185"/>
      <c r="D60" s="162"/>
      <c r="E60" s="137">
        <v>2017</v>
      </c>
      <c r="F60" s="14"/>
      <c r="G60" s="14"/>
      <c r="H60" s="14"/>
      <c r="I60" s="14"/>
      <c r="J60" s="14"/>
      <c r="K60" s="162"/>
    </row>
    <row r="61" spans="1:26" x14ac:dyDescent="0.2">
      <c r="A61" s="198"/>
      <c r="B61" s="225"/>
      <c r="C61" s="185"/>
      <c r="D61" s="162"/>
      <c r="E61" s="137">
        <v>2018</v>
      </c>
      <c r="F61" s="14"/>
      <c r="G61" s="14"/>
      <c r="H61" s="14"/>
      <c r="I61" s="14"/>
      <c r="J61" s="14"/>
      <c r="K61" s="162"/>
    </row>
    <row r="62" spans="1:26" x14ac:dyDescent="0.2">
      <c r="A62" s="198"/>
      <c r="B62" s="225"/>
      <c r="C62" s="185"/>
      <c r="D62" s="162"/>
      <c r="E62" s="137">
        <v>2019</v>
      </c>
      <c r="F62" s="14"/>
      <c r="G62" s="14"/>
      <c r="H62" s="14"/>
      <c r="I62" s="14"/>
      <c r="J62" s="14"/>
      <c r="K62" s="162"/>
    </row>
    <row r="63" spans="1:26" x14ac:dyDescent="0.2">
      <c r="A63" s="198"/>
      <c r="B63" s="225"/>
      <c r="C63" s="185"/>
      <c r="D63" s="162"/>
      <c r="E63" s="137">
        <v>2020</v>
      </c>
      <c r="F63" s="14"/>
      <c r="G63" s="14"/>
      <c r="H63" s="14"/>
      <c r="I63" s="14"/>
      <c r="J63" s="14"/>
      <c r="K63" s="162"/>
    </row>
    <row r="64" spans="1:26" ht="13.5" customHeight="1" x14ac:dyDescent="0.2">
      <c r="A64" s="198"/>
      <c r="B64" s="245"/>
      <c r="C64" s="186"/>
      <c r="D64" s="165"/>
      <c r="E64" s="24" t="s">
        <v>18</v>
      </c>
      <c r="F64" s="13">
        <f>SUM(F58:F63)</f>
        <v>1538.4</v>
      </c>
      <c r="G64" s="13"/>
      <c r="H64" s="13"/>
      <c r="I64" s="13">
        <f>SUM(I58:I63)</f>
        <v>1538.4</v>
      </c>
      <c r="J64" s="14"/>
      <c r="K64" s="165"/>
    </row>
    <row r="65" spans="1:36" x14ac:dyDescent="0.2">
      <c r="A65" s="198" t="s">
        <v>150</v>
      </c>
      <c r="B65" s="224" t="s">
        <v>29</v>
      </c>
      <c r="C65" s="158" t="s">
        <v>157</v>
      </c>
      <c r="D65" s="161" t="s">
        <v>255</v>
      </c>
      <c r="E65" s="137">
        <v>2015</v>
      </c>
      <c r="F65" s="14">
        <f t="shared" ref="F65:F70" si="1">SUM(G65:J65)</f>
        <v>21031.8</v>
      </c>
      <c r="G65" s="14"/>
      <c r="H65" s="14"/>
      <c r="I65" s="14">
        <f>22881.8-1000-850</f>
        <v>21031.8</v>
      </c>
      <c r="J65" s="14"/>
      <c r="K65" s="161" t="s">
        <v>172</v>
      </c>
    </row>
    <row r="66" spans="1:36" x14ac:dyDescent="0.2">
      <c r="A66" s="198"/>
      <c r="B66" s="225"/>
      <c r="C66" s="159"/>
      <c r="D66" s="162"/>
      <c r="E66" s="137">
        <v>2016</v>
      </c>
      <c r="F66" s="14">
        <f t="shared" si="1"/>
        <v>21444.400000000001</v>
      </c>
      <c r="G66" s="14"/>
      <c r="H66" s="14"/>
      <c r="I66" s="14">
        <f>22597.2-180.3-509-463.5</f>
        <v>21444.400000000001</v>
      </c>
      <c r="J66" s="14"/>
      <c r="K66" s="162"/>
    </row>
    <row r="67" spans="1:36" x14ac:dyDescent="0.2">
      <c r="A67" s="198"/>
      <c r="B67" s="225"/>
      <c r="C67" s="159"/>
      <c r="D67" s="162"/>
      <c r="E67" s="137">
        <v>2017</v>
      </c>
      <c r="F67" s="14">
        <f t="shared" si="1"/>
        <v>21166.7</v>
      </c>
      <c r="G67" s="14"/>
      <c r="H67" s="14"/>
      <c r="I67" s="14">
        <f>22881.8-1715.1</f>
        <v>21166.7</v>
      </c>
      <c r="J67" s="14"/>
      <c r="K67" s="162"/>
      <c r="L67" s="4" t="s">
        <v>292</v>
      </c>
      <c r="M67" s="132"/>
    </row>
    <row r="68" spans="1:36" x14ac:dyDescent="0.2">
      <c r="A68" s="198"/>
      <c r="B68" s="225"/>
      <c r="C68" s="159"/>
      <c r="D68" s="162"/>
      <c r="E68" s="137">
        <v>2018</v>
      </c>
      <c r="F68" s="14">
        <f t="shared" si="1"/>
        <v>14534.9</v>
      </c>
      <c r="G68" s="14"/>
      <c r="H68" s="14"/>
      <c r="I68" s="14">
        <f>22701-8166.1</f>
        <v>14534.9</v>
      </c>
      <c r="J68" s="14"/>
      <c r="K68" s="162"/>
      <c r="L68" s="125" t="s">
        <v>292</v>
      </c>
      <c r="M68" s="132"/>
    </row>
    <row r="69" spans="1:36" x14ac:dyDescent="0.2">
      <c r="A69" s="198"/>
      <c r="B69" s="225"/>
      <c r="C69" s="159"/>
      <c r="D69" s="162"/>
      <c r="E69" s="137">
        <v>2019</v>
      </c>
      <c r="F69" s="14">
        <f t="shared" si="1"/>
        <v>9071</v>
      </c>
      <c r="G69" s="14"/>
      <c r="H69" s="14"/>
      <c r="I69" s="14">
        <f>22360.5-13289.5</f>
        <v>9071</v>
      </c>
      <c r="J69" s="14"/>
      <c r="K69" s="162"/>
      <c r="L69" s="125" t="s">
        <v>292</v>
      </c>
      <c r="M69" s="132"/>
    </row>
    <row r="70" spans="1:36" x14ac:dyDescent="0.2">
      <c r="A70" s="198"/>
      <c r="B70" s="225"/>
      <c r="C70" s="159"/>
      <c r="D70" s="162"/>
      <c r="E70" s="137">
        <v>2020</v>
      </c>
      <c r="F70" s="14">
        <f t="shared" si="1"/>
        <v>21387.8</v>
      </c>
      <c r="G70" s="14"/>
      <c r="H70" s="14"/>
      <c r="I70" s="14">
        <v>21387.8</v>
      </c>
      <c r="J70" s="14"/>
      <c r="K70" s="162"/>
      <c r="M70" s="34"/>
    </row>
    <row r="71" spans="1:36" ht="38.25" customHeight="1" x14ac:dyDescent="0.2">
      <c r="A71" s="198"/>
      <c r="B71" s="225"/>
      <c r="C71" s="187"/>
      <c r="D71" s="165"/>
      <c r="E71" s="24" t="s">
        <v>18</v>
      </c>
      <c r="F71" s="13">
        <f>SUM(F65:F70)</f>
        <v>108636.59999999999</v>
      </c>
      <c r="G71" s="13"/>
      <c r="H71" s="13"/>
      <c r="I71" s="13">
        <f>SUM(I65:I70)</f>
        <v>108636.59999999999</v>
      </c>
      <c r="J71" s="13"/>
      <c r="K71" s="165"/>
    </row>
    <row r="72" spans="1:36" ht="14.25" x14ac:dyDescent="0.2">
      <c r="A72" s="257" t="s">
        <v>30</v>
      </c>
      <c r="B72" s="257"/>
      <c r="C72" s="257"/>
      <c r="D72" s="257"/>
      <c r="E72" s="138"/>
      <c r="F72" s="15">
        <f>F57+F64+F71</f>
        <v>115038.39999999999</v>
      </c>
      <c r="G72" s="15"/>
      <c r="H72" s="15">
        <f>H57</f>
        <v>4814.8</v>
      </c>
      <c r="I72" s="15">
        <f>I57+I64+I71</f>
        <v>110223.59999999999</v>
      </c>
      <c r="J72" s="36"/>
      <c r="K72" s="138"/>
    </row>
    <row r="73" spans="1:36" ht="15" thickBot="1" x14ac:dyDescent="0.25">
      <c r="A73" s="201" t="s">
        <v>31</v>
      </c>
      <c r="B73" s="209"/>
      <c r="C73" s="209"/>
      <c r="D73" s="209"/>
      <c r="E73" s="209"/>
      <c r="F73" s="209"/>
      <c r="G73" s="209"/>
      <c r="H73" s="209"/>
      <c r="I73" s="209"/>
      <c r="J73" s="209"/>
      <c r="K73" s="209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8"/>
    </row>
    <row r="74" spans="1:36" x14ac:dyDescent="0.2">
      <c r="A74" s="197" t="s">
        <v>32</v>
      </c>
      <c r="B74" s="258" t="s">
        <v>169</v>
      </c>
      <c r="C74" s="158" t="s">
        <v>157</v>
      </c>
      <c r="D74" s="161" t="s">
        <v>255</v>
      </c>
      <c r="E74" s="141">
        <v>2015</v>
      </c>
      <c r="F74" s="12">
        <f>SUM(G74:I74)</f>
        <v>2018.1000000000001</v>
      </c>
      <c r="G74" s="12"/>
      <c r="H74" s="12">
        <v>1997.9</v>
      </c>
      <c r="I74" s="12">
        <v>20.2</v>
      </c>
      <c r="J74" s="12"/>
      <c r="K74" s="161" t="s">
        <v>173</v>
      </c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</row>
    <row r="75" spans="1:36" x14ac:dyDescent="0.2">
      <c r="A75" s="198"/>
      <c r="B75" s="259"/>
      <c r="C75" s="159"/>
      <c r="D75" s="162"/>
      <c r="E75" s="137">
        <v>2016</v>
      </c>
      <c r="F75" s="14"/>
      <c r="G75" s="14"/>
      <c r="H75" s="14"/>
      <c r="I75" s="14"/>
      <c r="J75" s="14"/>
      <c r="K75" s="162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</row>
    <row r="76" spans="1:36" x14ac:dyDescent="0.2">
      <c r="A76" s="198"/>
      <c r="B76" s="259"/>
      <c r="C76" s="159"/>
      <c r="D76" s="162"/>
      <c r="E76" s="137">
        <v>2017</v>
      </c>
      <c r="F76" s="14">
        <f>SUM(G76:I76)</f>
        <v>0</v>
      </c>
      <c r="G76" s="14"/>
      <c r="H76" s="14">
        <f>23675-23675</f>
        <v>0</v>
      </c>
      <c r="I76" s="14">
        <f>239.1-239.1</f>
        <v>0</v>
      </c>
      <c r="J76" s="14"/>
      <c r="K76" s="162"/>
      <c r="L76" s="149" t="s">
        <v>305</v>
      </c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</row>
    <row r="77" spans="1:36" x14ac:dyDescent="0.2">
      <c r="A77" s="198"/>
      <c r="B77" s="259"/>
      <c r="C77" s="159"/>
      <c r="D77" s="162"/>
      <c r="E77" s="137">
        <v>2018</v>
      </c>
      <c r="F77" s="14"/>
      <c r="G77" s="14"/>
      <c r="H77" s="14"/>
      <c r="I77" s="14"/>
      <c r="J77" s="14"/>
      <c r="K77" s="162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</row>
    <row r="78" spans="1:36" x14ac:dyDescent="0.2">
      <c r="A78" s="198"/>
      <c r="B78" s="259"/>
      <c r="C78" s="159"/>
      <c r="D78" s="162"/>
      <c r="E78" s="137">
        <v>2019</v>
      </c>
      <c r="F78" s="14"/>
      <c r="G78" s="14"/>
      <c r="H78" s="14"/>
      <c r="I78" s="14"/>
      <c r="J78" s="14"/>
      <c r="K78" s="162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</row>
    <row r="79" spans="1:36" x14ac:dyDescent="0.2">
      <c r="A79" s="198"/>
      <c r="B79" s="259"/>
      <c r="C79" s="159"/>
      <c r="D79" s="162"/>
      <c r="E79" s="137">
        <v>2020</v>
      </c>
      <c r="F79" s="14"/>
      <c r="G79" s="14"/>
      <c r="H79" s="14"/>
      <c r="I79" s="14"/>
      <c r="J79" s="14"/>
      <c r="K79" s="162"/>
      <c r="L79" s="150"/>
      <c r="M79" s="150"/>
      <c r="N79" s="150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  <c r="AE79" s="150"/>
      <c r="AF79" s="150"/>
      <c r="AG79" s="150"/>
      <c r="AH79" s="150"/>
      <c r="AI79" s="150"/>
      <c r="AJ79" s="150"/>
    </row>
    <row r="80" spans="1:36" ht="30" customHeight="1" x14ac:dyDescent="0.2">
      <c r="A80" s="198"/>
      <c r="B80" s="260"/>
      <c r="C80" s="187"/>
      <c r="D80" s="165"/>
      <c r="E80" s="24" t="s">
        <v>18</v>
      </c>
      <c r="F80" s="13">
        <f>SUM(G80:I80)</f>
        <v>2018.1000000000001</v>
      </c>
      <c r="G80" s="13"/>
      <c r="H80" s="13">
        <f>SUM(H74:H78)</f>
        <v>1997.9</v>
      </c>
      <c r="I80" s="13">
        <f>SUM(I74:I78)</f>
        <v>20.2</v>
      </c>
      <c r="J80" s="14"/>
      <c r="K80" s="165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</row>
    <row r="81" spans="1:36" ht="15" customHeight="1" x14ac:dyDescent="0.2">
      <c r="A81" s="263" t="s">
        <v>159</v>
      </c>
      <c r="B81" s="214" t="s">
        <v>290</v>
      </c>
      <c r="C81" s="158" t="s">
        <v>254</v>
      </c>
      <c r="D81" s="161" t="s">
        <v>255</v>
      </c>
      <c r="E81" s="141">
        <v>2015</v>
      </c>
      <c r="F81" s="12"/>
      <c r="G81" s="12"/>
      <c r="H81" s="12"/>
      <c r="I81" s="12"/>
      <c r="J81" s="12"/>
      <c r="K81" s="161" t="s">
        <v>174</v>
      </c>
      <c r="L81" s="150"/>
      <c r="M81" s="150"/>
      <c r="N81" s="150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  <c r="AF81" s="150"/>
      <c r="AG81" s="150"/>
      <c r="AH81" s="150"/>
      <c r="AI81" s="150"/>
      <c r="AJ81" s="150"/>
    </row>
    <row r="82" spans="1:36" ht="15" customHeight="1" x14ac:dyDescent="0.2">
      <c r="A82" s="264"/>
      <c r="B82" s="215"/>
      <c r="C82" s="176"/>
      <c r="D82" s="162"/>
      <c r="E82" s="137">
        <v>2016</v>
      </c>
      <c r="F82" s="12">
        <f>SUM(G82:J82)</f>
        <v>7379.4</v>
      </c>
      <c r="G82" s="14"/>
      <c r="H82" s="14"/>
      <c r="I82" s="14">
        <f>1500+4748.2+1131.2</f>
        <v>7379.4</v>
      </c>
      <c r="J82" s="14"/>
      <c r="K82" s="162"/>
      <c r="L82" s="149"/>
      <c r="M82" s="149"/>
      <c r="N82" s="149"/>
      <c r="O82" s="149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</row>
    <row r="83" spans="1:36" ht="12.75" customHeight="1" x14ac:dyDescent="0.2">
      <c r="A83" s="264"/>
      <c r="B83" s="215"/>
      <c r="C83" s="176"/>
      <c r="D83" s="162"/>
      <c r="E83" s="137">
        <v>2017</v>
      </c>
      <c r="F83" s="12">
        <f>SUM(G83:J83)</f>
        <v>3628</v>
      </c>
      <c r="G83" s="14"/>
      <c r="H83" s="14"/>
      <c r="I83" s="14">
        <v>3628</v>
      </c>
      <c r="J83" s="14"/>
      <c r="K83" s="162"/>
      <c r="L83" s="149" t="s">
        <v>291</v>
      </c>
      <c r="M83" s="411" t="s">
        <v>293</v>
      </c>
      <c r="N83" s="411"/>
      <c r="O83" s="411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  <c r="AF83" s="150"/>
      <c r="AG83" s="150"/>
      <c r="AH83" s="150"/>
      <c r="AI83" s="150"/>
      <c r="AJ83" s="150"/>
    </row>
    <row r="84" spans="1:36" ht="12" customHeight="1" x14ac:dyDescent="0.2">
      <c r="A84" s="264"/>
      <c r="B84" s="215"/>
      <c r="C84" s="176"/>
      <c r="D84" s="162"/>
      <c r="E84" s="137">
        <v>2018</v>
      </c>
      <c r="F84" s="12">
        <f>SUM(G84:J84)</f>
        <v>1000</v>
      </c>
      <c r="G84" s="14"/>
      <c r="H84" s="14"/>
      <c r="I84" s="14">
        <v>1000</v>
      </c>
      <c r="J84" s="14"/>
      <c r="K84" s="162"/>
      <c r="L84" s="149" t="s">
        <v>291</v>
      </c>
      <c r="M84" s="149"/>
      <c r="N84" s="149"/>
      <c r="O84" s="149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0"/>
      <c r="AJ84" s="150"/>
    </row>
    <row r="85" spans="1:36" ht="14.25" customHeight="1" x14ac:dyDescent="0.2">
      <c r="A85" s="264"/>
      <c r="B85" s="215"/>
      <c r="C85" s="176"/>
      <c r="D85" s="162"/>
      <c r="E85" s="137">
        <v>2019</v>
      </c>
      <c r="F85" s="12">
        <f>SUM(G85:J85)</f>
        <v>1000</v>
      </c>
      <c r="G85" s="14"/>
      <c r="H85" s="14"/>
      <c r="I85" s="14">
        <v>1000</v>
      </c>
      <c r="J85" s="14"/>
      <c r="K85" s="162"/>
      <c r="L85" s="149" t="s">
        <v>291</v>
      </c>
      <c r="M85" s="149"/>
      <c r="N85" s="149"/>
      <c r="O85" s="149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  <c r="AF85" s="150"/>
      <c r="AG85" s="150"/>
      <c r="AH85" s="150"/>
      <c r="AI85" s="150"/>
      <c r="AJ85" s="150"/>
    </row>
    <row r="86" spans="1:36" ht="12" customHeight="1" x14ac:dyDescent="0.2">
      <c r="A86" s="264"/>
      <c r="B86" s="215"/>
      <c r="C86" s="176"/>
      <c r="D86" s="162"/>
      <c r="E86" s="137">
        <v>2020</v>
      </c>
      <c r="F86" s="14"/>
      <c r="G86" s="14"/>
      <c r="H86" s="14"/>
      <c r="I86" s="14"/>
      <c r="J86" s="14"/>
      <c r="K86" s="162"/>
      <c r="L86" s="149"/>
      <c r="M86" s="149"/>
      <c r="N86" s="149"/>
      <c r="O86" s="149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  <c r="AF86" s="150"/>
      <c r="AG86" s="150"/>
      <c r="AH86" s="150"/>
      <c r="AI86" s="150"/>
      <c r="AJ86" s="150"/>
    </row>
    <row r="87" spans="1:36" ht="15" customHeight="1" x14ac:dyDescent="0.2">
      <c r="A87" s="265"/>
      <c r="B87" s="174"/>
      <c r="C87" s="213"/>
      <c r="D87" s="165"/>
      <c r="E87" s="24" t="s">
        <v>18</v>
      </c>
      <c r="F87" s="13">
        <f>SUM(G87:I87)</f>
        <v>13007.4</v>
      </c>
      <c r="G87" s="13"/>
      <c r="H87" s="13">
        <f>SUM(H81:H85)</f>
        <v>0</v>
      </c>
      <c r="I87" s="13">
        <f>SUM(I81:I85)</f>
        <v>13007.4</v>
      </c>
      <c r="J87" s="14"/>
      <c r="K87" s="165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0"/>
      <c r="AJ87" s="150"/>
    </row>
    <row r="88" spans="1:36" ht="14.25" x14ac:dyDescent="0.2">
      <c r="A88" s="261" t="s">
        <v>33</v>
      </c>
      <c r="B88" s="261"/>
      <c r="C88" s="261"/>
      <c r="D88" s="261"/>
      <c r="E88" s="25"/>
      <c r="F88" s="16">
        <f>SUM(G88:I88)</f>
        <v>15025.5</v>
      </c>
      <c r="G88" s="16"/>
      <c r="H88" s="16">
        <f>H80</f>
        <v>1997.9</v>
      </c>
      <c r="I88" s="16">
        <f>I80+I87</f>
        <v>13027.6</v>
      </c>
      <c r="J88" s="26"/>
      <c r="K88" s="25"/>
    </row>
    <row r="89" spans="1:36" ht="15" x14ac:dyDescent="0.25">
      <c r="A89" s="249" t="s">
        <v>34</v>
      </c>
      <c r="B89" s="262"/>
      <c r="C89" s="262"/>
      <c r="D89" s="262"/>
      <c r="E89" s="262"/>
      <c r="F89" s="262"/>
      <c r="G89" s="262"/>
      <c r="H89" s="262"/>
      <c r="I89" s="262"/>
      <c r="J89" s="262"/>
      <c r="K89" s="262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4"/>
      <c r="W89" s="34"/>
      <c r="X89" s="34"/>
      <c r="Y89" s="34"/>
      <c r="Z89" s="34"/>
      <c r="AA89" s="34"/>
      <c r="AB89" s="34"/>
      <c r="AC89" s="34"/>
    </row>
    <row r="90" spans="1:36" x14ac:dyDescent="0.2">
      <c r="A90" s="198" t="s">
        <v>35</v>
      </c>
      <c r="B90" s="221" t="s">
        <v>36</v>
      </c>
      <c r="C90" s="158" t="s">
        <v>157</v>
      </c>
      <c r="D90" s="161" t="s">
        <v>255</v>
      </c>
      <c r="E90" s="137">
        <v>2015</v>
      </c>
      <c r="F90" s="14">
        <f t="shared" ref="F90:F96" si="2">SUM(G90:I90)</f>
        <v>600</v>
      </c>
      <c r="G90" s="14"/>
      <c r="H90" s="14"/>
      <c r="I90" s="14">
        <v>600</v>
      </c>
      <c r="J90" s="14"/>
      <c r="K90" s="161" t="s">
        <v>171</v>
      </c>
    </row>
    <row r="91" spans="1:36" x14ac:dyDescent="0.2">
      <c r="A91" s="198"/>
      <c r="B91" s="211"/>
      <c r="C91" s="159"/>
      <c r="D91" s="162"/>
      <c r="E91" s="137">
        <v>2016</v>
      </c>
      <c r="F91" s="14">
        <f t="shared" si="2"/>
        <v>700</v>
      </c>
      <c r="G91" s="14"/>
      <c r="H91" s="14"/>
      <c r="I91" s="14">
        <v>700</v>
      </c>
      <c r="J91" s="14"/>
      <c r="K91" s="162"/>
    </row>
    <row r="92" spans="1:36" x14ac:dyDescent="0.2">
      <c r="A92" s="198"/>
      <c r="B92" s="211"/>
      <c r="C92" s="159"/>
      <c r="D92" s="162"/>
      <c r="E92" s="137">
        <v>2017</v>
      </c>
      <c r="F92" s="14">
        <f t="shared" si="2"/>
        <v>0</v>
      </c>
      <c r="G92" s="14"/>
      <c r="H92" s="14"/>
      <c r="I92" s="14">
        <v>0</v>
      </c>
      <c r="J92" s="14"/>
      <c r="K92" s="162"/>
    </row>
    <row r="93" spans="1:36" x14ac:dyDescent="0.2">
      <c r="A93" s="198"/>
      <c r="B93" s="211"/>
      <c r="C93" s="159"/>
      <c r="D93" s="162"/>
      <c r="E93" s="137">
        <v>2018</v>
      </c>
      <c r="F93" s="14">
        <f t="shared" si="2"/>
        <v>0</v>
      </c>
      <c r="G93" s="14"/>
      <c r="H93" s="14"/>
      <c r="I93" s="14">
        <f>900-900</f>
        <v>0</v>
      </c>
      <c r="J93" s="14"/>
      <c r="K93" s="162"/>
      <c r="L93" s="125" t="s">
        <v>306</v>
      </c>
      <c r="M93" s="125"/>
    </row>
    <row r="94" spans="1:36" x14ac:dyDescent="0.2">
      <c r="A94" s="198"/>
      <c r="B94" s="211"/>
      <c r="C94" s="159"/>
      <c r="D94" s="162"/>
      <c r="E94" s="137">
        <v>2019</v>
      </c>
      <c r="F94" s="14">
        <v>0</v>
      </c>
      <c r="G94" s="14"/>
      <c r="H94" s="14"/>
      <c r="I94" s="14">
        <f>1000-1000</f>
        <v>0</v>
      </c>
      <c r="J94" s="14"/>
      <c r="K94" s="162"/>
      <c r="L94" s="125" t="s">
        <v>306</v>
      </c>
    </row>
    <row r="95" spans="1:36" x14ac:dyDescent="0.2">
      <c r="A95" s="198"/>
      <c r="B95" s="211"/>
      <c r="C95" s="159"/>
      <c r="D95" s="162"/>
      <c r="E95" s="137">
        <v>2020</v>
      </c>
      <c r="F95" s="14">
        <f t="shared" si="2"/>
        <v>1000</v>
      </c>
      <c r="G95" s="14"/>
      <c r="H95" s="14"/>
      <c r="I95" s="14">
        <v>1000</v>
      </c>
      <c r="J95" s="14"/>
      <c r="K95" s="162"/>
    </row>
    <row r="96" spans="1:36" x14ac:dyDescent="0.2">
      <c r="A96" s="198"/>
      <c r="B96" s="212"/>
      <c r="C96" s="187"/>
      <c r="D96" s="165"/>
      <c r="E96" s="24" t="s">
        <v>18</v>
      </c>
      <c r="F96" s="13">
        <f t="shared" si="2"/>
        <v>2300</v>
      </c>
      <c r="G96" s="13"/>
      <c r="H96" s="13"/>
      <c r="I96" s="13">
        <f>SUM(I90:I95)</f>
        <v>2300</v>
      </c>
      <c r="J96" s="14"/>
      <c r="K96" s="165"/>
    </row>
    <row r="97" spans="1:36" ht="14.25" x14ac:dyDescent="0.2">
      <c r="A97" s="257" t="s">
        <v>37</v>
      </c>
      <c r="B97" s="280"/>
      <c r="C97" s="280"/>
      <c r="D97" s="257"/>
      <c r="E97" s="257"/>
      <c r="F97" s="257"/>
      <c r="G97" s="257"/>
      <c r="H97" s="257"/>
      <c r="I97" s="257"/>
      <c r="J97" s="257"/>
      <c r="K97" s="257"/>
    </row>
    <row r="98" spans="1:36" x14ac:dyDescent="0.2">
      <c r="A98" s="198" t="s">
        <v>38</v>
      </c>
      <c r="B98" s="224" t="s">
        <v>39</v>
      </c>
      <c r="C98" s="158" t="s">
        <v>157</v>
      </c>
      <c r="D98" s="161" t="s">
        <v>255</v>
      </c>
      <c r="E98" s="137">
        <v>2015</v>
      </c>
      <c r="F98" s="14">
        <f t="shared" ref="F98:F103" si="3">SUM(G98:I98)</f>
        <v>0</v>
      </c>
      <c r="G98" s="14"/>
      <c r="H98" s="14"/>
      <c r="I98" s="14">
        <v>0</v>
      </c>
      <c r="J98" s="14"/>
      <c r="K98" s="161" t="s">
        <v>171</v>
      </c>
    </row>
    <row r="99" spans="1:36" x14ac:dyDescent="0.2">
      <c r="A99" s="198"/>
      <c r="B99" s="225"/>
      <c r="C99" s="159"/>
      <c r="D99" s="162"/>
      <c r="E99" s="137">
        <v>2016</v>
      </c>
      <c r="F99" s="14">
        <f t="shared" si="3"/>
        <v>0</v>
      </c>
      <c r="G99" s="14"/>
      <c r="H99" s="14"/>
      <c r="I99" s="14">
        <v>0</v>
      </c>
      <c r="J99" s="14"/>
      <c r="K99" s="162"/>
    </row>
    <row r="100" spans="1:36" x14ac:dyDescent="0.2">
      <c r="A100" s="198"/>
      <c r="B100" s="225"/>
      <c r="C100" s="159"/>
      <c r="D100" s="162"/>
      <c r="E100" s="137">
        <v>2017</v>
      </c>
      <c r="F100" s="14">
        <f t="shared" si="3"/>
        <v>0</v>
      </c>
      <c r="G100" s="14"/>
      <c r="H100" s="14"/>
      <c r="I100" s="14">
        <v>0</v>
      </c>
      <c r="J100" s="14"/>
      <c r="K100" s="162"/>
    </row>
    <row r="101" spans="1:36" x14ac:dyDescent="0.2">
      <c r="A101" s="198"/>
      <c r="B101" s="225"/>
      <c r="C101" s="159"/>
      <c r="D101" s="162"/>
      <c r="E101" s="137">
        <v>2018</v>
      </c>
      <c r="F101" s="14">
        <f t="shared" si="3"/>
        <v>0</v>
      </c>
      <c r="G101" s="14"/>
      <c r="H101" s="14"/>
      <c r="I101" s="14">
        <f>176.7-176.7</f>
        <v>0</v>
      </c>
      <c r="J101" s="14"/>
      <c r="K101" s="162"/>
      <c r="L101" s="125" t="s">
        <v>306</v>
      </c>
      <c r="M101" s="125"/>
    </row>
    <row r="102" spans="1:36" x14ac:dyDescent="0.2">
      <c r="A102" s="198"/>
      <c r="B102" s="225"/>
      <c r="C102" s="159"/>
      <c r="D102" s="162"/>
      <c r="E102" s="137">
        <v>2019</v>
      </c>
      <c r="F102" s="14">
        <f t="shared" si="3"/>
        <v>0</v>
      </c>
      <c r="G102" s="14"/>
      <c r="H102" s="14"/>
      <c r="I102" s="14">
        <f>202-202</f>
        <v>0</v>
      </c>
      <c r="J102" s="14"/>
      <c r="K102" s="162"/>
      <c r="L102" s="125" t="s">
        <v>306</v>
      </c>
    </row>
    <row r="103" spans="1:36" x14ac:dyDescent="0.2">
      <c r="A103" s="198"/>
      <c r="B103" s="225"/>
      <c r="C103" s="159"/>
      <c r="D103" s="162"/>
      <c r="E103" s="137">
        <v>2020</v>
      </c>
      <c r="F103" s="14">
        <f t="shared" si="3"/>
        <v>230.6</v>
      </c>
      <c r="G103" s="14"/>
      <c r="H103" s="14"/>
      <c r="I103" s="14">
        <v>230.6</v>
      </c>
      <c r="J103" s="14"/>
      <c r="K103" s="162"/>
    </row>
    <row r="104" spans="1:36" x14ac:dyDescent="0.2">
      <c r="A104" s="198"/>
      <c r="B104" s="225"/>
      <c r="C104" s="187"/>
      <c r="D104" s="165"/>
      <c r="E104" s="24" t="s">
        <v>18</v>
      </c>
      <c r="F104" s="13">
        <f>SUM(F98:F103)</f>
        <v>230.6</v>
      </c>
      <c r="G104" s="13"/>
      <c r="H104" s="13"/>
      <c r="I104" s="13">
        <f>SUM(I98:I103)</f>
        <v>230.6</v>
      </c>
      <c r="J104" s="14"/>
      <c r="K104" s="165"/>
    </row>
    <row r="105" spans="1:36" ht="20.25" customHeight="1" x14ac:dyDescent="0.25">
      <c r="A105" s="266" t="s">
        <v>241</v>
      </c>
      <c r="B105" s="267"/>
      <c r="C105" s="268"/>
      <c r="D105" s="269"/>
      <c r="E105" s="40"/>
      <c r="F105" s="16">
        <f>SUM(G105:I105)</f>
        <v>274954.40000000002</v>
      </c>
      <c r="G105" s="16"/>
      <c r="H105" s="16">
        <f>H104+H96+H88+H72+H49+H30</f>
        <v>138299.20000000001</v>
      </c>
      <c r="I105" s="16">
        <f>I104+I96+I88+I72+I49+I30</f>
        <v>136655.19999999998</v>
      </c>
      <c r="J105" s="27"/>
      <c r="K105" s="40"/>
    </row>
    <row r="106" spans="1:36" ht="16.5" thickBot="1" x14ac:dyDescent="0.3">
      <c r="A106" s="270" t="s">
        <v>223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2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</row>
    <row r="107" spans="1:36" ht="44.25" customHeight="1" thickBot="1" x14ac:dyDescent="0.25">
      <c r="A107" s="166" t="s">
        <v>272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4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spans="1:36" x14ac:dyDescent="0.2">
      <c r="A108" s="198" t="s">
        <v>40</v>
      </c>
      <c r="B108" s="275" t="s">
        <v>41</v>
      </c>
      <c r="C108" s="226" t="s">
        <v>157</v>
      </c>
      <c r="D108" s="277" t="s">
        <v>255</v>
      </c>
      <c r="E108" s="137">
        <v>2015</v>
      </c>
      <c r="F108" s="137"/>
      <c r="G108" s="137"/>
      <c r="H108" s="137"/>
      <c r="I108" s="137"/>
      <c r="J108" s="137"/>
      <c r="K108" s="279" t="s">
        <v>42</v>
      </c>
    </row>
    <row r="109" spans="1:36" x14ac:dyDescent="0.2">
      <c r="A109" s="198"/>
      <c r="B109" s="276"/>
      <c r="C109" s="227"/>
      <c r="D109" s="278"/>
      <c r="E109" s="137">
        <v>2016</v>
      </c>
      <c r="F109" s="137"/>
      <c r="G109" s="137"/>
      <c r="H109" s="137"/>
      <c r="I109" s="137"/>
      <c r="J109" s="137"/>
      <c r="K109" s="162"/>
    </row>
    <row r="110" spans="1:36" x14ac:dyDescent="0.2">
      <c r="A110" s="198"/>
      <c r="B110" s="276"/>
      <c r="C110" s="227"/>
      <c r="D110" s="278"/>
      <c r="E110" s="137">
        <v>2017</v>
      </c>
      <c r="F110" s="137"/>
      <c r="G110" s="137"/>
      <c r="H110" s="137"/>
      <c r="I110" s="137"/>
      <c r="J110" s="137"/>
      <c r="K110" s="162"/>
    </row>
    <row r="111" spans="1:36" x14ac:dyDescent="0.2">
      <c r="A111" s="198"/>
      <c r="B111" s="276"/>
      <c r="C111" s="227"/>
      <c r="D111" s="278"/>
      <c r="E111" s="137">
        <v>2018</v>
      </c>
      <c r="F111" s="137"/>
      <c r="G111" s="137"/>
      <c r="H111" s="137"/>
      <c r="I111" s="137"/>
      <c r="J111" s="137"/>
      <c r="K111" s="162"/>
    </row>
    <row r="112" spans="1:36" x14ac:dyDescent="0.2">
      <c r="A112" s="198"/>
      <c r="B112" s="276"/>
      <c r="C112" s="227"/>
      <c r="D112" s="278"/>
      <c r="E112" s="137">
        <v>2019</v>
      </c>
      <c r="F112" s="137"/>
      <c r="G112" s="137"/>
      <c r="H112" s="137"/>
      <c r="I112" s="137"/>
      <c r="J112" s="137"/>
      <c r="K112" s="162"/>
    </row>
    <row r="113" spans="1:36" x14ac:dyDescent="0.2">
      <c r="A113" s="198"/>
      <c r="B113" s="276"/>
      <c r="C113" s="227"/>
      <c r="D113" s="278"/>
      <c r="E113" s="137">
        <v>2020</v>
      </c>
      <c r="F113" s="137"/>
      <c r="G113" s="137"/>
      <c r="H113" s="137"/>
      <c r="I113" s="137"/>
      <c r="J113" s="137"/>
      <c r="K113" s="162"/>
    </row>
    <row r="114" spans="1:36" ht="21.75" customHeight="1" x14ac:dyDescent="0.2">
      <c r="A114" s="199"/>
      <c r="B114" s="276"/>
      <c r="C114" s="227"/>
      <c r="D114" s="278"/>
      <c r="E114" s="32" t="s">
        <v>18</v>
      </c>
      <c r="F114" s="140"/>
      <c r="G114" s="140"/>
      <c r="H114" s="140"/>
      <c r="I114" s="140"/>
      <c r="J114" s="140"/>
      <c r="K114" s="165"/>
    </row>
    <row r="115" spans="1:36" ht="18" customHeight="1" x14ac:dyDescent="0.2">
      <c r="A115" s="281" t="s">
        <v>244</v>
      </c>
      <c r="B115" s="282"/>
      <c r="C115" s="282"/>
      <c r="D115" s="282"/>
      <c r="E115" s="283"/>
      <c r="F115" s="284" t="s">
        <v>43</v>
      </c>
      <c r="G115" s="285"/>
      <c r="H115" s="285"/>
      <c r="I115" s="285"/>
      <c r="J115" s="286"/>
      <c r="K115" s="109"/>
    </row>
    <row r="116" spans="1:36" x14ac:dyDescent="0.2">
      <c r="A116" s="188" t="s">
        <v>44</v>
      </c>
      <c r="B116" s="287"/>
      <c r="C116" s="287"/>
      <c r="D116" s="287"/>
      <c r="E116" s="287"/>
      <c r="F116" s="287"/>
      <c r="G116" s="287"/>
      <c r="H116" s="287"/>
      <c r="I116" s="287"/>
      <c r="J116" s="287"/>
      <c r="K116" s="287"/>
    </row>
    <row r="117" spans="1:36" ht="31.5" customHeight="1" x14ac:dyDescent="0.2">
      <c r="A117" s="201" t="s">
        <v>45</v>
      </c>
      <c r="B117" s="209"/>
      <c r="C117" s="209"/>
      <c r="D117" s="209"/>
      <c r="E117" s="209"/>
      <c r="F117" s="209"/>
      <c r="G117" s="209"/>
      <c r="H117" s="209"/>
      <c r="I117" s="209"/>
      <c r="J117" s="209"/>
      <c r="K117" s="209"/>
      <c r="L117" s="150"/>
      <c r="M117" s="150"/>
      <c r="N117" s="150"/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/>
      <c r="AH117" s="150"/>
      <c r="AI117" s="150"/>
      <c r="AJ117" s="150"/>
    </row>
    <row r="118" spans="1:36" x14ac:dyDescent="0.2">
      <c r="A118" s="197" t="s">
        <v>46</v>
      </c>
      <c r="B118" s="178" t="s">
        <v>47</v>
      </c>
      <c r="C118" s="291" t="s">
        <v>157</v>
      </c>
      <c r="D118" s="229" t="s">
        <v>255</v>
      </c>
      <c r="E118" s="141">
        <v>2015</v>
      </c>
      <c r="F118" s="141"/>
      <c r="G118" s="141"/>
      <c r="H118" s="141"/>
      <c r="I118" s="141"/>
      <c r="J118" s="141"/>
      <c r="K118" s="161" t="s">
        <v>48</v>
      </c>
    </row>
    <row r="119" spans="1:36" x14ac:dyDescent="0.2">
      <c r="A119" s="198"/>
      <c r="B119" s="209"/>
      <c r="C119" s="227"/>
      <c r="D119" s="230"/>
      <c r="E119" s="137">
        <v>2016</v>
      </c>
      <c r="F119" s="137"/>
      <c r="G119" s="137"/>
      <c r="H119" s="137"/>
      <c r="I119" s="137"/>
      <c r="J119" s="137"/>
      <c r="K119" s="162"/>
    </row>
    <row r="120" spans="1:36" x14ac:dyDescent="0.2">
      <c r="A120" s="198"/>
      <c r="B120" s="209"/>
      <c r="C120" s="227"/>
      <c r="D120" s="230"/>
      <c r="E120" s="137">
        <v>2017</v>
      </c>
      <c r="F120" s="137"/>
      <c r="G120" s="137"/>
      <c r="H120" s="137"/>
      <c r="I120" s="137"/>
      <c r="J120" s="137"/>
      <c r="K120" s="162"/>
    </row>
    <row r="121" spans="1:36" x14ac:dyDescent="0.2">
      <c r="A121" s="198"/>
      <c r="B121" s="209"/>
      <c r="C121" s="227"/>
      <c r="D121" s="230"/>
      <c r="E121" s="137">
        <v>2018</v>
      </c>
      <c r="F121" s="137"/>
      <c r="G121" s="137"/>
      <c r="H121" s="137"/>
      <c r="I121" s="137"/>
      <c r="J121" s="137"/>
      <c r="K121" s="162"/>
    </row>
    <row r="122" spans="1:36" x14ac:dyDescent="0.2">
      <c r="A122" s="198"/>
      <c r="B122" s="209"/>
      <c r="C122" s="227"/>
      <c r="D122" s="230"/>
      <c r="E122" s="137">
        <v>2019</v>
      </c>
      <c r="F122" s="137"/>
      <c r="G122" s="137"/>
      <c r="H122" s="137"/>
      <c r="I122" s="137"/>
      <c r="J122" s="137"/>
      <c r="K122" s="162"/>
    </row>
    <row r="123" spans="1:36" x14ac:dyDescent="0.2">
      <c r="A123" s="198"/>
      <c r="B123" s="209"/>
      <c r="C123" s="227"/>
      <c r="D123" s="230"/>
      <c r="E123" s="137">
        <v>2020</v>
      </c>
      <c r="F123" s="137"/>
      <c r="G123" s="137"/>
      <c r="H123" s="137"/>
      <c r="I123" s="137"/>
      <c r="J123" s="137"/>
      <c r="K123" s="162"/>
    </row>
    <row r="124" spans="1:36" ht="30" customHeight="1" thickBot="1" x14ac:dyDescent="0.25">
      <c r="A124" s="198"/>
      <c r="B124" s="209"/>
      <c r="C124" s="228"/>
      <c r="D124" s="231"/>
      <c r="E124" s="24" t="s">
        <v>18</v>
      </c>
      <c r="F124" s="137"/>
      <c r="G124" s="137"/>
      <c r="H124" s="137"/>
      <c r="I124" s="137"/>
      <c r="J124" s="137"/>
      <c r="K124" s="165"/>
    </row>
    <row r="125" spans="1:36" x14ac:dyDescent="0.2">
      <c r="A125" s="198" t="s">
        <v>49</v>
      </c>
      <c r="B125" s="156" t="s">
        <v>50</v>
      </c>
      <c r="C125" s="226" t="s">
        <v>157</v>
      </c>
      <c r="D125" s="229" t="s">
        <v>255</v>
      </c>
      <c r="E125" s="137">
        <v>2015</v>
      </c>
      <c r="F125" s="137"/>
      <c r="G125" s="137"/>
      <c r="H125" s="137"/>
      <c r="I125" s="137"/>
      <c r="J125" s="137"/>
      <c r="K125" s="161" t="s">
        <v>51</v>
      </c>
    </row>
    <row r="126" spans="1:36" x14ac:dyDescent="0.2">
      <c r="A126" s="198"/>
      <c r="B126" s="209"/>
      <c r="C126" s="227"/>
      <c r="D126" s="230"/>
      <c r="E126" s="137">
        <v>2016</v>
      </c>
      <c r="F126" s="137"/>
      <c r="G126" s="137"/>
      <c r="H126" s="137"/>
      <c r="I126" s="137"/>
      <c r="J126" s="137"/>
      <c r="K126" s="162"/>
    </row>
    <row r="127" spans="1:36" x14ac:dyDescent="0.2">
      <c r="A127" s="198"/>
      <c r="B127" s="209"/>
      <c r="C127" s="227"/>
      <c r="D127" s="230"/>
      <c r="E127" s="137">
        <v>2017</v>
      </c>
      <c r="F127" s="137"/>
      <c r="G127" s="137"/>
      <c r="H127" s="137"/>
      <c r="I127" s="137"/>
      <c r="J127" s="137"/>
      <c r="K127" s="162"/>
    </row>
    <row r="128" spans="1:36" x14ac:dyDescent="0.2">
      <c r="A128" s="198"/>
      <c r="B128" s="209"/>
      <c r="C128" s="227"/>
      <c r="D128" s="230"/>
      <c r="E128" s="137">
        <v>2018</v>
      </c>
      <c r="F128" s="137"/>
      <c r="G128" s="137"/>
      <c r="H128" s="137"/>
      <c r="I128" s="137"/>
      <c r="J128" s="137"/>
      <c r="K128" s="162"/>
    </row>
    <row r="129" spans="1:36" x14ac:dyDescent="0.2">
      <c r="A129" s="198"/>
      <c r="B129" s="209"/>
      <c r="C129" s="227"/>
      <c r="D129" s="230"/>
      <c r="E129" s="137">
        <v>2019</v>
      </c>
      <c r="F129" s="137"/>
      <c r="G129" s="137"/>
      <c r="H129" s="137"/>
      <c r="I129" s="137"/>
      <c r="J129" s="137"/>
      <c r="K129" s="162"/>
    </row>
    <row r="130" spans="1:36" x14ac:dyDescent="0.2">
      <c r="A130" s="198"/>
      <c r="B130" s="209"/>
      <c r="C130" s="227"/>
      <c r="D130" s="230"/>
      <c r="E130" s="137">
        <v>2020</v>
      </c>
      <c r="F130" s="137"/>
      <c r="G130" s="137"/>
      <c r="H130" s="137"/>
      <c r="I130" s="137"/>
      <c r="J130" s="137"/>
      <c r="K130" s="162"/>
    </row>
    <row r="131" spans="1:36" ht="58.5" customHeight="1" x14ac:dyDescent="0.2">
      <c r="A131" s="199"/>
      <c r="B131" s="189"/>
      <c r="C131" s="227"/>
      <c r="D131" s="231"/>
      <c r="E131" s="32" t="s">
        <v>18</v>
      </c>
      <c r="F131" s="140"/>
      <c r="G131" s="140"/>
      <c r="H131" s="140"/>
      <c r="I131" s="140"/>
      <c r="J131" s="140"/>
      <c r="K131" s="165"/>
    </row>
    <row r="132" spans="1:36" ht="32.25" customHeight="1" x14ac:dyDescent="0.2">
      <c r="A132" s="201" t="s">
        <v>52</v>
      </c>
      <c r="B132" s="209"/>
      <c r="C132" s="209"/>
      <c r="D132" s="209"/>
      <c r="E132" s="209"/>
      <c r="F132" s="209"/>
      <c r="G132" s="209"/>
      <c r="H132" s="209"/>
      <c r="I132" s="209"/>
      <c r="J132" s="209"/>
      <c r="K132" s="209"/>
      <c r="L132" s="150"/>
      <c r="M132" s="150"/>
      <c r="N132" s="150"/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/>
      <c r="AH132" s="150"/>
      <c r="AI132" s="150"/>
      <c r="AJ132" s="150"/>
    </row>
    <row r="133" spans="1:36" ht="15.75" thickBot="1" x14ac:dyDescent="0.3">
      <c r="A133" s="201" t="s">
        <v>165</v>
      </c>
      <c r="B133" s="292"/>
      <c r="C133" s="292"/>
      <c r="D133" s="292"/>
      <c r="E133" s="292"/>
      <c r="F133" s="292"/>
      <c r="G133" s="292"/>
      <c r="H133" s="292"/>
      <c r="I133" s="292"/>
      <c r="J133" s="292"/>
      <c r="K133" s="292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</row>
    <row r="134" spans="1:36" x14ac:dyDescent="0.2">
      <c r="A134" s="256" t="s">
        <v>54</v>
      </c>
      <c r="B134" s="224" t="s">
        <v>55</v>
      </c>
      <c r="C134" s="226" t="s">
        <v>157</v>
      </c>
      <c r="D134" s="229" t="s">
        <v>255</v>
      </c>
      <c r="E134" s="137">
        <v>2015</v>
      </c>
      <c r="F134" s="14">
        <f t="shared" ref="F134:F139" si="4">SUM(G134:J134)</f>
        <v>289323.7</v>
      </c>
      <c r="G134" s="14"/>
      <c r="H134" s="14">
        <f>313444.2-24120.5</f>
        <v>289323.7</v>
      </c>
      <c r="I134" s="14"/>
      <c r="J134" s="14"/>
      <c r="K134" s="161" t="s">
        <v>56</v>
      </c>
    </row>
    <row r="135" spans="1:36" x14ac:dyDescent="0.2">
      <c r="A135" s="256"/>
      <c r="B135" s="225"/>
      <c r="C135" s="227"/>
      <c r="D135" s="230"/>
      <c r="E135" s="137">
        <v>2016</v>
      </c>
      <c r="F135" s="14">
        <f t="shared" si="4"/>
        <v>292770.7</v>
      </c>
      <c r="G135" s="14"/>
      <c r="H135" s="14">
        <f>321212.7-28442</f>
        <v>292770.7</v>
      </c>
      <c r="I135" s="14"/>
      <c r="J135" s="14"/>
      <c r="K135" s="162"/>
      <c r="M135" s="125" t="s">
        <v>294</v>
      </c>
    </row>
    <row r="136" spans="1:36" x14ac:dyDescent="0.2">
      <c r="A136" s="256"/>
      <c r="B136" s="225"/>
      <c r="C136" s="227"/>
      <c r="D136" s="230"/>
      <c r="E136" s="137">
        <v>2017</v>
      </c>
      <c r="F136" s="14">
        <f t="shared" si="4"/>
        <v>291302.69999999995</v>
      </c>
      <c r="G136" s="14"/>
      <c r="H136" s="14">
        <f>407056.8-115754.1</f>
        <v>291302.69999999995</v>
      </c>
      <c r="I136" s="14"/>
      <c r="J136" s="14"/>
      <c r="K136" s="162"/>
      <c r="L136" s="125" t="s">
        <v>292</v>
      </c>
      <c r="M136" s="132"/>
    </row>
    <row r="137" spans="1:36" x14ac:dyDescent="0.2">
      <c r="A137" s="256"/>
      <c r="B137" s="225"/>
      <c r="C137" s="227"/>
      <c r="D137" s="230"/>
      <c r="E137" s="137">
        <v>2018</v>
      </c>
      <c r="F137" s="14">
        <f t="shared" si="4"/>
        <v>258136.49999999997</v>
      </c>
      <c r="G137" s="14"/>
      <c r="H137" s="14">
        <f>291795.6-33659.1</f>
        <v>258136.49999999997</v>
      </c>
      <c r="I137" s="14"/>
      <c r="J137" s="14"/>
      <c r="K137" s="162"/>
      <c r="L137" s="125" t="s">
        <v>292</v>
      </c>
      <c r="M137" s="132"/>
    </row>
    <row r="138" spans="1:36" x14ac:dyDescent="0.2">
      <c r="A138" s="256"/>
      <c r="B138" s="225"/>
      <c r="C138" s="227"/>
      <c r="D138" s="230"/>
      <c r="E138" s="137">
        <v>2019</v>
      </c>
      <c r="F138" s="14">
        <f t="shared" si="4"/>
        <v>258169.50000000003</v>
      </c>
      <c r="G138" s="14"/>
      <c r="H138" s="14">
        <f>306971.4-48801.9</f>
        <v>258169.50000000003</v>
      </c>
      <c r="I138" s="14"/>
      <c r="J138" s="14"/>
      <c r="K138" s="162"/>
      <c r="L138" s="125" t="s">
        <v>292</v>
      </c>
      <c r="M138" s="132"/>
    </row>
    <row r="139" spans="1:36" x14ac:dyDescent="0.2">
      <c r="A139" s="256"/>
      <c r="B139" s="225"/>
      <c r="C139" s="227"/>
      <c r="D139" s="230"/>
      <c r="E139" s="137">
        <v>2020</v>
      </c>
      <c r="F139" s="14">
        <f t="shared" si="4"/>
        <v>324467.09999999998</v>
      </c>
      <c r="G139" s="14"/>
      <c r="H139" s="14">
        <v>324467.09999999998</v>
      </c>
      <c r="I139" s="14"/>
      <c r="J139" s="14"/>
      <c r="K139" s="162"/>
    </row>
    <row r="140" spans="1:36" ht="26.25" customHeight="1" x14ac:dyDescent="0.2">
      <c r="A140" s="256"/>
      <c r="B140" s="225"/>
      <c r="C140" s="227"/>
      <c r="D140" s="231"/>
      <c r="E140" s="24" t="s">
        <v>18</v>
      </c>
      <c r="F140" s="13">
        <f>SUM(F134:F139)</f>
        <v>1714170.1999999997</v>
      </c>
      <c r="G140" s="13"/>
      <c r="H140" s="13">
        <f>SUM(H134:H139)</f>
        <v>1714170.1999999997</v>
      </c>
      <c r="I140" s="13"/>
      <c r="J140" s="13"/>
      <c r="K140" s="162"/>
    </row>
    <row r="141" spans="1:36" x14ac:dyDescent="0.2">
      <c r="A141" s="256" t="s">
        <v>57</v>
      </c>
      <c r="B141" s="224" t="s">
        <v>58</v>
      </c>
      <c r="C141" s="184" t="s">
        <v>157</v>
      </c>
      <c r="D141" s="288" t="s">
        <v>255</v>
      </c>
      <c r="E141" s="137">
        <v>2015</v>
      </c>
      <c r="F141" s="14">
        <f t="shared" ref="F141:F146" si="5">SUM(G141:J141)</f>
        <v>51438.500000000007</v>
      </c>
      <c r="G141" s="14"/>
      <c r="H141" s="14"/>
      <c r="I141" s="14">
        <f>54650+6257.8-2384.6-2000-2408.2-401.3-516.2-1759</f>
        <v>51438.500000000007</v>
      </c>
      <c r="J141" s="14"/>
      <c r="K141" s="162"/>
    </row>
    <row r="142" spans="1:36" x14ac:dyDescent="0.2">
      <c r="A142" s="256"/>
      <c r="B142" s="225"/>
      <c r="C142" s="185"/>
      <c r="D142" s="289"/>
      <c r="E142" s="137">
        <v>2016</v>
      </c>
      <c r="F142" s="14">
        <f t="shared" si="5"/>
        <v>51482.5</v>
      </c>
      <c r="G142" s="14"/>
      <c r="H142" s="14"/>
      <c r="I142" s="14">
        <f>57382.5-5400-500</f>
        <v>51482.5</v>
      </c>
      <c r="J142" s="14"/>
      <c r="K142" s="162"/>
    </row>
    <row r="143" spans="1:36" x14ac:dyDescent="0.2">
      <c r="A143" s="256"/>
      <c r="B143" s="225"/>
      <c r="C143" s="185"/>
      <c r="D143" s="289"/>
      <c r="E143" s="137">
        <v>2017</v>
      </c>
      <c r="F143" s="14">
        <f t="shared" si="5"/>
        <v>48417.9</v>
      </c>
      <c r="G143" s="14"/>
      <c r="H143" s="14"/>
      <c r="I143" s="14">
        <f>57382.5-8964.6</f>
        <v>48417.9</v>
      </c>
      <c r="J143" s="14"/>
      <c r="K143" s="162"/>
      <c r="L143" s="125" t="s">
        <v>292</v>
      </c>
      <c r="M143" s="132"/>
    </row>
    <row r="144" spans="1:36" x14ac:dyDescent="0.2">
      <c r="A144" s="256"/>
      <c r="B144" s="225"/>
      <c r="C144" s="185"/>
      <c r="D144" s="289"/>
      <c r="E144" s="137">
        <v>2018</v>
      </c>
      <c r="F144" s="14">
        <f t="shared" si="5"/>
        <v>53382.5</v>
      </c>
      <c r="G144" s="14"/>
      <c r="H144" s="14"/>
      <c r="I144" s="14">
        <f>61079.4-7696.9</f>
        <v>53382.5</v>
      </c>
      <c r="J144" s="14"/>
      <c r="K144" s="162"/>
      <c r="L144" s="125" t="s">
        <v>292</v>
      </c>
      <c r="M144" s="132"/>
    </row>
    <row r="145" spans="1:13" x14ac:dyDescent="0.2">
      <c r="A145" s="256"/>
      <c r="B145" s="225"/>
      <c r="C145" s="185"/>
      <c r="D145" s="289"/>
      <c r="E145" s="137">
        <v>2019</v>
      </c>
      <c r="F145" s="14">
        <f t="shared" si="5"/>
        <v>53382.5</v>
      </c>
      <c r="G145" s="14"/>
      <c r="H145" s="14"/>
      <c r="I145" s="14">
        <f>64255.5-10873</f>
        <v>53382.5</v>
      </c>
      <c r="J145" s="14"/>
      <c r="K145" s="162"/>
      <c r="L145" s="125" t="s">
        <v>292</v>
      </c>
      <c r="M145" s="132"/>
    </row>
    <row r="146" spans="1:13" x14ac:dyDescent="0.2">
      <c r="A146" s="256"/>
      <c r="B146" s="225"/>
      <c r="C146" s="185"/>
      <c r="D146" s="289"/>
      <c r="E146" s="137">
        <v>2020</v>
      </c>
      <c r="F146" s="14">
        <f t="shared" si="5"/>
        <v>67918.100000000006</v>
      </c>
      <c r="G146" s="14"/>
      <c r="H146" s="14"/>
      <c r="I146" s="14">
        <v>67918.100000000006</v>
      </c>
      <c r="J146" s="14"/>
      <c r="K146" s="162"/>
    </row>
    <row r="147" spans="1:13" ht="47.25" customHeight="1" x14ac:dyDescent="0.2">
      <c r="A147" s="256"/>
      <c r="B147" s="225"/>
      <c r="C147" s="185"/>
      <c r="D147" s="290"/>
      <c r="E147" s="24" t="s">
        <v>18</v>
      </c>
      <c r="F147" s="13">
        <f>SUM(F141:F146)</f>
        <v>326022</v>
      </c>
      <c r="G147" s="13"/>
      <c r="H147" s="13"/>
      <c r="I147" s="13">
        <f>SUM(I141:I146)</f>
        <v>326022</v>
      </c>
      <c r="J147" s="13"/>
      <c r="K147" s="165"/>
    </row>
    <row r="148" spans="1:13" x14ac:dyDescent="0.2">
      <c r="A148" s="198" t="s">
        <v>59</v>
      </c>
      <c r="B148" s="224" t="s">
        <v>60</v>
      </c>
      <c r="C148" s="304" t="s">
        <v>157</v>
      </c>
      <c r="D148" s="229" t="s">
        <v>255</v>
      </c>
      <c r="E148" s="137">
        <v>2015</v>
      </c>
      <c r="F148" s="2"/>
      <c r="G148" s="2"/>
      <c r="H148" s="2"/>
      <c r="I148" s="2"/>
      <c r="J148" s="2"/>
      <c r="K148" s="161" t="s">
        <v>61</v>
      </c>
    </row>
    <row r="149" spans="1:13" x14ac:dyDescent="0.2">
      <c r="A149" s="198"/>
      <c r="B149" s="225"/>
      <c r="C149" s="227"/>
      <c r="D149" s="230"/>
      <c r="E149" s="137">
        <v>2016</v>
      </c>
      <c r="F149" s="2"/>
      <c r="G149" s="2"/>
      <c r="H149" s="2"/>
      <c r="I149" s="2"/>
      <c r="J149" s="2"/>
      <c r="K149" s="162"/>
    </row>
    <row r="150" spans="1:13" x14ac:dyDescent="0.2">
      <c r="A150" s="198"/>
      <c r="B150" s="225"/>
      <c r="C150" s="227"/>
      <c r="D150" s="230"/>
      <c r="E150" s="137">
        <v>2017</v>
      </c>
      <c r="F150" s="2"/>
      <c r="G150" s="2"/>
      <c r="H150" s="2"/>
      <c r="I150" s="2"/>
      <c r="J150" s="2"/>
      <c r="K150" s="162"/>
    </row>
    <row r="151" spans="1:13" x14ac:dyDescent="0.2">
      <c r="A151" s="198"/>
      <c r="B151" s="225"/>
      <c r="C151" s="227"/>
      <c r="D151" s="230"/>
      <c r="E151" s="137">
        <v>2018</v>
      </c>
      <c r="F151" s="2"/>
      <c r="G151" s="2"/>
      <c r="H151" s="2"/>
      <c r="I151" s="2"/>
      <c r="J151" s="2"/>
      <c r="K151" s="162"/>
    </row>
    <row r="152" spans="1:13" x14ac:dyDescent="0.2">
      <c r="A152" s="198"/>
      <c r="B152" s="225"/>
      <c r="C152" s="227"/>
      <c r="D152" s="230"/>
      <c r="E152" s="137">
        <v>2019</v>
      </c>
      <c r="F152" s="2"/>
      <c r="G152" s="2"/>
      <c r="H152" s="2"/>
      <c r="I152" s="2"/>
      <c r="J152" s="2"/>
      <c r="K152" s="162"/>
    </row>
    <row r="153" spans="1:13" x14ac:dyDescent="0.2">
      <c r="A153" s="198"/>
      <c r="B153" s="225"/>
      <c r="C153" s="227"/>
      <c r="D153" s="230"/>
      <c r="E153" s="137">
        <v>2020</v>
      </c>
      <c r="F153" s="2"/>
      <c r="G153" s="2"/>
      <c r="H153" s="2"/>
      <c r="I153" s="2"/>
      <c r="J153" s="2"/>
      <c r="K153" s="162"/>
    </row>
    <row r="154" spans="1:13" ht="92.25" customHeight="1" x14ac:dyDescent="0.2">
      <c r="A154" s="198"/>
      <c r="B154" s="225"/>
      <c r="C154" s="305"/>
      <c r="D154" s="231"/>
      <c r="E154" s="24" t="s">
        <v>18</v>
      </c>
      <c r="F154" s="2"/>
      <c r="G154" s="2"/>
      <c r="H154" s="2"/>
      <c r="I154" s="2"/>
      <c r="J154" s="2"/>
      <c r="K154" s="165"/>
    </row>
    <row r="155" spans="1:13" x14ac:dyDescent="0.2">
      <c r="A155" s="197" t="s">
        <v>62</v>
      </c>
      <c r="B155" s="302" t="s">
        <v>273</v>
      </c>
      <c r="C155" s="291" t="s">
        <v>157</v>
      </c>
      <c r="D155" s="230" t="s">
        <v>255</v>
      </c>
      <c r="E155" s="141">
        <v>2015</v>
      </c>
      <c r="F155" s="1"/>
      <c r="G155" s="1"/>
      <c r="H155" s="1"/>
      <c r="I155" s="1"/>
      <c r="J155" s="1"/>
      <c r="K155" s="162" t="s">
        <v>63</v>
      </c>
    </row>
    <row r="156" spans="1:13" x14ac:dyDescent="0.2">
      <c r="A156" s="198"/>
      <c r="B156" s="302"/>
      <c r="C156" s="227"/>
      <c r="D156" s="230"/>
      <c r="E156" s="137">
        <v>2016</v>
      </c>
      <c r="F156" s="2"/>
      <c r="G156" s="2"/>
      <c r="H156" s="2"/>
      <c r="I156" s="2"/>
      <c r="J156" s="2"/>
      <c r="K156" s="162"/>
    </row>
    <row r="157" spans="1:13" x14ac:dyDescent="0.2">
      <c r="A157" s="198"/>
      <c r="B157" s="302"/>
      <c r="C157" s="227"/>
      <c r="D157" s="230"/>
      <c r="E157" s="137">
        <v>2017</v>
      </c>
      <c r="F157" s="2"/>
      <c r="G157" s="2"/>
      <c r="H157" s="2"/>
      <c r="I157" s="2"/>
      <c r="J157" s="2"/>
      <c r="K157" s="162"/>
    </row>
    <row r="158" spans="1:13" x14ac:dyDescent="0.2">
      <c r="A158" s="198"/>
      <c r="B158" s="302"/>
      <c r="C158" s="227"/>
      <c r="D158" s="230"/>
      <c r="E158" s="137">
        <v>2018</v>
      </c>
      <c r="F158" s="2"/>
      <c r="G158" s="2"/>
      <c r="H158" s="2"/>
      <c r="I158" s="2"/>
      <c r="J158" s="2"/>
      <c r="K158" s="162"/>
    </row>
    <row r="159" spans="1:13" x14ac:dyDescent="0.2">
      <c r="A159" s="198"/>
      <c r="B159" s="302"/>
      <c r="C159" s="227"/>
      <c r="D159" s="230"/>
      <c r="E159" s="137">
        <v>2019</v>
      </c>
      <c r="F159" s="2"/>
      <c r="G159" s="2"/>
      <c r="H159" s="2"/>
      <c r="I159" s="2"/>
      <c r="J159" s="2"/>
      <c r="K159" s="162"/>
    </row>
    <row r="160" spans="1:13" x14ac:dyDescent="0.2">
      <c r="A160" s="198"/>
      <c r="B160" s="302"/>
      <c r="C160" s="227"/>
      <c r="D160" s="230"/>
      <c r="E160" s="137">
        <v>2020</v>
      </c>
      <c r="F160" s="2"/>
      <c r="G160" s="2"/>
      <c r="H160" s="2"/>
      <c r="I160" s="2"/>
      <c r="J160" s="2"/>
      <c r="K160" s="162"/>
    </row>
    <row r="161" spans="1:11" ht="77.25" customHeight="1" thickBot="1" x14ac:dyDescent="0.25">
      <c r="A161" s="198"/>
      <c r="B161" s="303"/>
      <c r="C161" s="227"/>
      <c r="D161" s="231"/>
      <c r="E161" s="24" t="s">
        <v>18</v>
      </c>
      <c r="F161" s="2"/>
      <c r="G161" s="2"/>
      <c r="H161" s="2"/>
      <c r="I161" s="2"/>
      <c r="J161" s="2"/>
      <c r="K161" s="165"/>
    </row>
    <row r="162" spans="1:11" x14ac:dyDescent="0.2">
      <c r="A162" s="198" t="s">
        <v>64</v>
      </c>
      <c r="B162" s="221" t="s">
        <v>65</v>
      </c>
      <c r="C162" s="226" t="s">
        <v>157</v>
      </c>
      <c r="D162" s="229" t="s">
        <v>255</v>
      </c>
      <c r="E162" s="137">
        <v>2015</v>
      </c>
      <c r="F162" s="293" t="s">
        <v>66</v>
      </c>
      <c r="G162" s="294"/>
      <c r="H162" s="294"/>
      <c r="I162" s="294"/>
      <c r="J162" s="295"/>
      <c r="K162" s="161" t="s">
        <v>67</v>
      </c>
    </row>
    <row r="163" spans="1:11" x14ac:dyDescent="0.2">
      <c r="A163" s="198"/>
      <c r="B163" s="222"/>
      <c r="C163" s="227"/>
      <c r="D163" s="230"/>
      <c r="E163" s="137">
        <v>2016</v>
      </c>
      <c r="F163" s="296"/>
      <c r="G163" s="297"/>
      <c r="H163" s="297"/>
      <c r="I163" s="297"/>
      <c r="J163" s="298"/>
      <c r="K163" s="162"/>
    </row>
    <row r="164" spans="1:11" x14ac:dyDescent="0.2">
      <c r="A164" s="198"/>
      <c r="B164" s="222"/>
      <c r="C164" s="227"/>
      <c r="D164" s="230"/>
      <c r="E164" s="137">
        <v>2017</v>
      </c>
      <c r="F164" s="296"/>
      <c r="G164" s="297"/>
      <c r="H164" s="297"/>
      <c r="I164" s="297"/>
      <c r="J164" s="298"/>
      <c r="K164" s="162"/>
    </row>
    <row r="165" spans="1:11" x14ac:dyDescent="0.2">
      <c r="A165" s="198"/>
      <c r="B165" s="222"/>
      <c r="C165" s="227"/>
      <c r="D165" s="230"/>
      <c r="E165" s="137">
        <v>2018</v>
      </c>
      <c r="F165" s="296"/>
      <c r="G165" s="297"/>
      <c r="H165" s="297"/>
      <c r="I165" s="297"/>
      <c r="J165" s="298"/>
      <c r="K165" s="162"/>
    </row>
    <row r="166" spans="1:11" x14ac:dyDescent="0.2">
      <c r="A166" s="198"/>
      <c r="B166" s="222"/>
      <c r="C166" s="227"/>
      <c r="D166" s="230"/>
      <c r="E166" s="137">
        <v>2019</v>
      </c>
      <c r="F166" s="296"/>
      <c r="G166" s="297"/>
      <c r="H166" s="297"/>
      <c r="I166" s="297"/>
      <c r="J166" s="298"/>
      <c r="K166" s="162"/>
    </row>
    <row r="167" spans="1:11" x14ac:dyDescent="0.2">
      <c r="A167" s="198"/>
      <c r="B167" s="222"/>
      <c r="C167" s="227"/>
      <c r="D167" s="230"/>
      <c r="E167" s="137">
        <v>2020</v>
      </c>
      <c r="F167" s="296"/>
      <c r="G167" s="297"/>
      <c r="H167" s="297"/>
      <c r="I167" s="297"/>
      <c r="J167" s="298"/>
      <c r="K167" s="162"/>
    </row>
    <row r="168" spans="1:11" ht="15.75" customHeight="1" thickBot="1" x14ac:dyDescent="0.25">
      <c r="A168" s="198"/>
      <c r="B168" s="223"/>
      <c r="C168" s="227"/>
      <c r="D168" s="231"/>
      <c r="E168" s="24" t="s">
        <v>18</v>
      </c>
      <c r="F168" s="299"/>
      <c r="G168" s="300"/>
      <c r="H168" s="300"/>
      <c r="I168" s="300"/>
      <c r="J168" s="301"/>
      <c r="K168" s="162"/>
    </row>
    <row r="169" spans="1:11" x14ac:dyDescent="0.2">
      <c r="A169" s="198" t="s">
        <v>68</v>
      </c>
      <c r="B169" s="224" t="s">
        <v>69</v>
      </c>
      <c r="C169" s="226" t="s">
        <v>157</v>
      </c>
      <c r="D169" s="229" t="s">
        <v>255</v>
      </c>
      <c r="E169" s="137">
        <v>2015</v>
      </c>
      <c r="F169" s="306" t="s">
        <v>70</v>
      </c>
      <c r="G169" s="307"/>
      <c r="H169" s="307"/>
      <c r="I169" s="307"/>
      <c r="J169" s="308"/>
      <c r="K169" s="159"/>
    </row>
    <row r="170" spans="1:11" x14ac:dyDescent="0.2">
      <c r="A170" s="198"/>
      <c r="B170" s="224"/>
      <c r="C170" s="227"/>
      <c r="D170" s="230"/>
      <c r="E170" s="137">
        <v>2016</v>
      </c>
      <c r="F170" s="309"/>
      <c r="G170" s="310"/>
      <c r="H170" s="310"/>
      <c r="I170" s="310"/>
      <c r="J170" s="311"/>
      <c r="K170" s="159"/>
    </row>
    <row r="171" spans="1:11" x14ac:dyDescent="0.2">
      <c r="A171" s="198"/>
      <c r="B171" s="224"/>
      <c r="C171" s="227"/>
      <c r="D171" s="230"/>
      <c r="E171" s="137">
        <v>2017</v>
      </c>
      <c r="F171" s="309"/>
      <c r="G171" s="310"/>
      <c r="H171" s="310"/>
      <c r="I171" s="310"/>
      <c r="J171" s="311"/>
      <c r="K171" s="159"/>
    </row>
    <row r="172" spans="1:11" x14ac:dyDescent="0.2">
      <c r="A172" s="198"/>
      <c r="B172" s="224"/>
      <c r="C172" s="227"/>
      <c r="D172" s="230"/>
      <c r="E172" s="137">
        <v>2018</v>
      </c>
      <c r="F172" s="309"/>
      <c r="G172" s="310"/>
      <c r="H172" s="310"/>
      <c r="I172" s="310"/>
      <c r="J172" s="311"/>
      <c r="K172" s="159"/>
    </row>
    <row r="173" spans="1:11" x14ac:dyDescent="0.2">
      <c r="A173" s="198"/>
      <c r="B173" s="224"/>
      <c r="C173" s="227"/>
      <c r="D173" s="230"/>
      <c r="E173" s="137">
        <v>2019</v>
      </c>
      <c r="F173" s="309"/>
      <c r="G173" s="310"/>
      <c r="H173" s="310"/>
      <c r="I173" s="310"/>
      <c r="J173" s="311"/>
      <c r="K173" s="159"/>
    </row>
    <row r="174" spans="1:11" x14ac:dyDescent="0.2">
      <c r="A174" s="198"/>
      <c r="B174" s="224"/>
      <c r="C174" s="227"/>
      <c r="D174" s="230"/>
      <c r="E174" s="137">
        <v>2020</v>
      </c>
      <c r="F174" s="312"/>
      <c r="G174" s="313"/>
      <c r="H174" s="313"/>
      <c r="I174" s="313"/>
      <c r="J174" s="314"/>
      <c r="K174" s="159"/>
    </row>
    <row r="175" spans="1:11" x14ac:dyDescent="0.2">
      <c r="A175" s="198"/>
      <c r="B175" s="224"/>
      <c r="C175" s="227"/>
      <c r="D175" s="231"/>
      <c r="E175" s="32" t="s">
        <v>18</v>
      </c>
      <c r="F175" s="140"/>
      <c r="G175" s="140"/>
      <c r="H175" s="140"/>
      <c r="I175" s="140"/>
      <c r="J175" s="140"/>
      <c r="K175" s="187"/>
    </row>
    <row r="176" spans="1:11" ht="14.25" customHeight="1" x14ac:dyDescent="0.2">
      <c r="A176" s="263" t="s">
        <v>161</v>
      </c>
      <c r="B176" s="221" t="s">
        <v>162</v>
      </c>
      <c r="C176" s="158" t="s">
        <v>157</v>
      </c>
      <c r="D176" s="161" t="s">
        <v>255</v>
      </c>
      <c r="E176" s="137">
        <v>2016</v>
      </c>
      <c r="F176" s="14">
        <f>SUM(G176:J176)</f>
        <v>12886.900000000001</v>
      </c>
      <c r="G176" s="28"/>
      <c r="H176" s="28">
        <f>13077.7-190.8</f>
        <v>12886.900000000001</v>
      </c>
      <c r="I176" s="28"/>
      <c r="J176" s="28"/>
      <c r="K176" s="161" t="s">
        <v>175</v>
      </c>
    </row>
    <row r="177" spans="1:32" ht="14.25" customHeight="1" x14ac:dyDescent="0.2">
      <c r="A177" s="264"/>
      <c r="B177" s="319"/>
      <c r="C177" s="176"/>
      <c r="D177" s="162"/>
      <c r="E177" s="137">
        <v>2017</v>
      </c>
      <c r="F177" s="14">
        <f t="shared" ref="F177:F178" si="6">SUM(G177:J177)</f>
        <v>12995.9</v>
      </c>
      <c r="G177" s="28"/>
      <c r="H177" s="28">
        <v>12995.9</v>
      </c>
      <c r="I177" s="28"/>
      <c r="J177" s="28"/>
      <c r="K177" s="162"/>
      <c r="L177" s="4" t="s">
        <v>291</v>
      </c>
    </row>
    <row r="178" spans="1:32" ht="15" customHeight="1" x14ac:dyDescent="0.2">
      <c r="A178" s="264"/>
      <c r="B178" s="319"/>
      <c r="C178" s="176"/>
      <c r="D178" s="162"/>
      <c r="E178" s="137">
        <v>2018</v>
      </c>
      <c r="F178" s="14">
        <f t="shared" si="6"/>
        <v>12995.9</v>
      </c>
      <c r="G178" s="28"/>
      <c r="H178" s="28">
        <v>12995.9</v>
      </c>
      <c r="I178" s="28"/>
      <c r="J178" s="28"/>
      <c r="K178" s="162"/>
      <c r="L178" s="4" t="s">
        <v>291</v>
      </c>
    </row>
    <row r="179" spans="1:32" ht="13.5" customHeight="1" x14ac:dyDescent="0.2">
      <c r="A179" s="264"/>
      <c r="B179" s="319"/>
      <c r="C179" s="176"/>
      <c r="D179" s="162"/>
      <c r="E179" s="137">
        <v>2019</v>
      </c>
      <c r="F179" s="14">
        <f t="shared" ref="F179" si="7">SUM(G179:J179)</f>
        <v>12995.9</v>
      </c>
      <c r="G179" s="28"/>
      <c r="H179" s="28">
        <v>12995.9</v>
      </c>
      <c r="I179" s="28"/>
      <c r="J179" s="28"/>
      <c r="K179" s="162"/>
      <c r="L179" s="125" t="s">
        <v>291</v>
      </c>
    </row>
    <row r="180" spans="1:32" ht="16.5" customHeight="1" x14ac:dyDescent="0.2">
      <c r="A180" s="264"/>
      <c r="B180" s="319"/>
      <c r="C180" s="176"/>
      <c r="D180" s="162"/>
      <c r="E180" s="137">
        <v>2020</v>
      </c>
      <c r="F180" s="28"/>
      <c r="G180" s="28"/>
      <c r="H180" s="28"/>
      <c r="I180" s="28"/>
      <c r="J180" s="28"/>
      <c r="K180" s="162"/>
    </row>
    <row r="181" spans="1:32" ht="16.5" customHeight="1" x14ac:dyDescent="0.2">
      <c r="A181" s="265"/>
      <c r="B181" s="320"/>
      <c r="C181" s="213"/>
      <c r="D181" s="165"/>
      <c r="E181" s="24" t="s">
        <v>18</v>
      </c>
      <c r="F181" s="28">
        <f>F176+F177+F178+F179+F180</f>
        <v>51874.600000000006</v>
      </c>
      <c r="G181" s="28"/>
      <c r="H181" s="28">
        <f>H176+H177+H178+H179+H180</f>
        <v>51874.600000000006</v>
      </c>
      <c r="I181" s="28"/>
      <c r="J181" s="28"/>
      <c r="K181" s="165"/>
    </row>
    <row r="182" spans="1:32" ht="23.25" customHeight="1" x14ac:dyDescent="0.2">
      <c r="A182" s="321" t="s">
        <v>232</v>
      </c>
      <c r="B182" s="322"/>
      <c r="C182" s="322"/>
      <c r="D182" s="323"/>
      <c r="E182" s="134"/>
      <c r="F182" s="99">
        <f>F175+F161+F154+F140+F147+F181</f>
        <v>2092066.7999999998</v>
      </c>
      <c r="G182" s="99">
        <f>G175+G161+G154+G140+G147+G181</f>
        <v>0</v>
      </c>
      <c r="H182" s="99">
        <f>H175+H161+H154+H140+H147+H181</f>
        <v>1766044.7999999998</v>
      </c>
      <c r="I182" s="99">
        <f>I175+I161+I154+I140+I147+I181</f>
        <v>326022</v>
      </c>
      <c r="J182" s="19"/>
      <c r="K182" s="43"/>
    </row>
    <row r="183" spans="1:32" ht="25.5" customHeight="1" thickBot="1" x14ac:dyDescent="0.25">
      <c r="A183" s="315" t="s">
        <v>237</v>
      </c>
      <c r="B183" s="225"/>
      <c r="C183" s="225"/>
      <c r="D183" s="225"/>
      <c r="E183" s="109"/>
      <c r="F183" s="110">
        <f>SUM(G183:I183)</f>
        <v>2367021.1999999997</v>
      </c>
      <c r="G183" s="110">
        <f>G182+G115+G105</f>
        <v>0</v>
      </c>
      <c r="H183" s="110">
        <f>H182+H105</f>
        <v>1904343.9999999998</v>
      </c>
      <c r="I183" s="110">
        <f>I182+I105</f>
        <v>462677.19999999995</v>
      </c>
      <c r="J183" s="111"/>
      <c r="K183" s="109"/>
    </row>
    <row r="184" spans="1:32" ht="23.25" customHeight="1" x14ac:dyDescent="0.2">
      <c r="A184" s="316" t="s">
        <v>225</v>
      </c>
      <c r="B184" s="317"/>
      <c r="C184" s="317"/>
      <c r="D184" s="317"/>
      <c r="E184" s="317"/>
      <c r="F184" s="317"/>
      <c r="G184" s="317"/>
      <c r="H184" s="317"/>
      <c r="I184" s="317"/>
      <c r="J184" s="317"/>
      <c r="K184" s="317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6"/>
    </row>
    <row r="185" spans="1:32" ht="16.5" thickBot="1" x14ac:dyDescent="0.25">
      <c r="A185" s="255" t="s">
        <v>224</v>
      </c>
      <c r="B185" s="318"/>
      <c r="C185" s="318"/>
      <c r="D185" s="318"/>
      <c r="E185" s="318"/>
      <c r="F185" s="318"/>
      <c r="G185" s="318"/>
      <c r="H185" s="318"/>
      <c r="I185" s="318"/>
      <c r="J185" s="318"/>
      <c r="K185" s="318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8"/>
    </row>
    <row r="186" spans="1:32" ht="12.75" customHeight="1" x14ac:dyDescent="0.2">
      <c r="A186" s="220" t="s">
        <v>16</v>
      </c>
      <c r="B186" s="224" t="s">
        <v>256</v>
      </c>
      <c r="C186" s="226" t="s">
        <v>178</v>
      </c>
      <c r="D186" s="229" t="s">
        <v>147</v>
      </c>
      <c r="E186" s="137">
        <v>2015</v>
      </c>
      <c r="F186" s="14"/>
      <c r="G186" s="14"/>
      <c r="H186" s="14"/>
      <c r="I186" s="14"/>
      <c r="J186" s="14"/>
      <c r="K186" s="161" t="s">
        <v>176</v>
      </c>
    </row>
    <row r="187" spans="1:32" x14ac:dyDescent="0.2">
      <c r="A187" s="220"/>
      <c r="B187" s="225"/>
      <c r="C187" s="227"/>
      <c r="D187" s="230"/>
      <c r="E187" s="137">
        <v>2016</v>
      </c>
      <c r="F187" s="14"/>
      <c r="G187" s="14"/>
      <c r="H187" s="14"/>
      <c r="I187" s="14"/>
      <c r="J187" s="14"/>
      <c r="K187" s="162"/>
    </row>
    <row r="188" spans="1:32" x14ac:dyDescent="0.2">
      <c r="A188" s="220"/>
      <c r="B188" s="225"/>
      <c r="C188" s="227"/>
      <c r="D188" s="230"/>
      <c r="E188" s="137">
        <v>2017</v>
      </c>
      <c r="F188" s="14"/>
      <c r="G188" s="14"/>
      <c r="H188" s="14"/>
      <c r="I188" s="14"/>
      <c r="J188" s="14"/>
      <c r="K188" s="162"/>
    </row>
    <row r="189" spans="1:32" x14ac:dyDescent="0.2">
      <c r="A189" s="220"/>
      <c r="B189" s="225"/>
      <c r="C189" s="227"/>
      <c r="D189" s="230"/>
      <c r="E189" s="137">
        <v>2018</v>
      </c>
      <c r="F189" s="14"/>
      <c r="G189" s="14"/>
      <c r="H189" s="14"/>
      <c r="I189" s="14"/>
      <c r="J189" s="14"/>
      <c r="K189" s="162"/>
    </row>
    <row r="190" spans="1:32" x14ac:dyDescent="0.2">
      <c r="A190" s="220"/>
      <c r="B190" s="225"/>
      <c r="C190" s="227"/>
      <c r="D190" s="230"/>
      <c r="E190" s="137">
        <v>2019</v>
      </c>
      <c r="F190" s="14">
        <f>SUM(G190:J190)</f>
        <v>0</v>
      </c>
      <c r="G190" s="14"/>
      <c r="H190" s="14">
        <f>85230-85230</f>
        <v>0</v>
      </c>
      <c r="I190" s="14">
        <f>860.9-860.9</f>
        <v>0</v>
      </c>
      <c r="J190" s="14"/>
      <c r="K190" s="162"/>
      <c r="L190" s="4" t="s">
        <v>306</v>
      </c>
    </row>
    <row r="191" spans="1:32" x14ac:dyDescent="0.2">
      <c r="A191" s="220"/>
      <c r="B191" s="225"/>
      <c r="C191" s="227"/>
      <c r="D191" s="230"/>
      <c r="E191" s="137">
        <v>2020</v>
      </c>
      <c r="F191" s="14">
        <f>SUM(G191:J191)</f>
        <v>86090.9</v>
      </c>
      <c r="G191" s="14"/>
      <c r="H191" s="14">
        <v>85230</v>
      </c>
      <c r="I191" s="14">
        <v>860.9</v>
      </c>
      <c r="J191" s="14"/>
      <c r="K191" s="162"/>
    </row>
    <row r="192" spans="1:32" ht="13.5" thickBot="1" x14ac:dyDescent="0.25">
      <c r="A192" s="220"/>
      <c r="B192" s="245"/>
      <c r="C192" s="228"/>
      <c r="D192" s="231"/>
      <c r="E192" s="24" t="s">
        <v>18</v>
      </c>
      <c r="F192" s="13">
        <f>SUM(F186:F191)</f>
        <v>86090.9</v>
      </c>
      <c r="G192" s="13">
        <f>SUM(G186:G191)</f>
        <v>0</v>
      </c>
      <c r="H192" s="13">
        <f>SUM(H186:H191)</f>
        <v>85230</v>
      </c>
      <c r="I192" s="13">
        <f>SUM(I186:I191)</f>
        <v>860.9</v>
      </c>
      <c r="J192" s="14"/>
      <c r="K192" s="165"/>
    </row>
    <row r="193" spans="1:12" ht="12.75" customHeight="1" x14ac:dyDescent="0.2">
      <c r="A193" s="220" t="s">
        <v>19</v>
      </c>
      <c r="B193" s="224" t="s">
        <v>71</v>
      </c>
      <c r="C193" s="226" t="s">
        <v>72</v>
      </c>
      <c r="D193" s="229" t="s">
        <v>147</v>
      </c>
      <c r="E193" s="137">
        <v>2015</v>
      </c>
      <c r="F193" s="14">
        <f>SUM(G193:I193)</f>
        <v>11594</v>
      </c>
      <c r="G193" s="14"/>
      <c r="H193" s="14">
        <f>9200+2278</f>
        <v>11478</v>
      </c>
      <c r="I193" s="14">
        <f>92.9+23.1</f>
        <v>116</v>
      </c>
      <c r="J193" s="14"/>
      <c r="K193" s="161" t="s">
        <v>177</v>
      </c>
    </row>
    <row r="194" spans="1:12" x14ac:dyDescent="0.2">
      <c r="A194" s="220"/>
      <c r="B194" s="225"/>
      <c r="C194" s="227"/>
      <c r="D194" s="230"/>
      <c r="E194" s="137">
        <v>2016</v>
      </c>
      <c r="F194" s="14">
        <f>SUM(G194:I194)</f>
        <v>19796.5</v>
      </c>
      <c r="G194" s="14"/>
      <c r="H194" s="14">
        <v>19593.599999999999</v>
      </c>
      <c r="I194" s="14">
        <f>198+4.9</f>
        <v>202.9</v>
      </c>
      <c r="J194" s="14"/>
      <c r="K194" s="162"/>
      <c r="L194" s="4" t="s">
        <v>316</v>
      </c>
    </row>
    <row r="195" spans="1:12" x14ac:dyDescent="0.2">
      <c r="A195" s="220"/>
      <c r="B195" s="225"/>
      <c r="C195" s="227"/>
      <c r="D195" s="230"/>
      <c r="E195" s="137">
        <v>2017</v>
      </c>
      <c r="F195" s="14"/>
      <c r="G195" s="14"/>
      <c r="H195" s="14"/>
      <c r="I195" s="14"/>
      <c r="J195" s="14"/>
      <c r="K195" s="162"/>
    </row>
    <row r="196" spans="1:12" x14ac:dyDescent="0.2">
      <c r="A196" s="220"/>
      <c r="B196" s="225"/>
      <c r="C196" s="227"/>
      <c r="D196" s="230"/>
      <c r="E196" s="137">
        <v>2018</v>
      </c>
      <c r="F196" s="14"/>
      <c r="G196" s="14"/>
      <c r="H196" s="14"/>
      <c r="I196" s="14"/>
      <c r="J196" s="14"/>
      <c r="K196" s="162"/>
    </row>
    <row r="197" spans="1:12" x14ac:dyDescent="0.2">
      <c r="A197" s="220"/>
      <c r="B197" s="225"/>
      <c r="C197" s="227"/>
      <c r="D197" s="230"/>
      <c r="E197" s="137">
        <v>2019</v>
      </c>
      <c r="F197" s="14"/>
      <c r="G197" s="14"/>
      <c r="H197" s="14"/>
      <c r="I197" s="14"/>
      <c r="J197" s="14"/>
      <c r="K197" s="162"/>
    </row>
    <row r="198" spans="1:12" x14ac:dyDescent="0.2">
      <c r="A198" s="220"/>
      <c r="B198" s="225"/>
      <c r="C198" s="227"/>
      <c r="D198" s="230"/>
      <c r="E198" s="137">
        <v>2020</v>
      </c>
      <c r="F198" s="13"/>
      <c r="G198" s="13"/>
      <c r="H198" s="13"/>
      <c r="I198" s="13"/>
      <c r="J198" s="14"/>
      <c r="K198" s="162"/>
    </row>
    <row r="199" spans="1:12" ht="13.5" thickBot="1" x14ac:dyDescent="0.25">
      <c r="A199" s="220"/>
      <c r="B199" s="225"/>
      <c r="C199" s="228"/>
      <c r="D199" s="231"/>
      <c r="E199" s="24" t="s">
        <v>18</v>
      </c>
      <c r="F199" s="13">
        <f>SUM(F193:F198)</f>
        <v>31390.5</v>
      </c>
      <c r="G199" s="13"/>
      <c r="H199" s="13">
        <f>SUM(H193:H198)</f>
        <v>31071.599999999999</v>
      </c>
      <c r="I199" s="13">
        <f>SUM(I193:I198)</f>
        <v>318.89999999999998</v>
      </c>
      <c r="J199" s="14"/>
      <c r="K199" s="165"/>
    </row>
    <row r="200" spans="1:12" x14ac:dyDescent="0.2">
      <c r="A200" s="220" t="s">
        <v>73</v>
      </c>
      <c r="B200" s="224" t="s">
        <v>337</v>
      </c>
      <c r="C200" s="226" t="s">
        <v>179</v>
      </c>
      <c r="D200" s="229" t="s">
        <v>147</v>
      </c>
      <c r="E200" s="137">
        <v>2015</v>
      </c>
      <c r="F200" s="14">
        <f>SUM(G200:I200)</f>
        <v>0</v>
      </c>
      <c r="G200" s="14"/>
      <c r="H200" s="14">
        <f>19500-19500</f>
        <v>0</v>
      </c>
      <c r="I200" s="14">
        <f>197-197</f>
        <v>0</v>
      </c>
      <c r="J200" s="14"/>
      <c r="K200" s="161" t="s">
        <v>217</v>
      </c>
    </row>
    <row r="201" spans="1:12" x14ac:dyDescent="0.2">
      <c r="A201" s="220"/>
      <c r="B201" s="225"/>
      <c r="C201" s="227"/>
      <c r="D201" s="230"/>
      <c r="E201" s="137">
        <v>2016</v>
      </c>
      <c r="F201" s="14">
        <f>SUM(G201:I201)</f>
        <v>0</v>
      </c>
      <c r="G201" s="14"/>
      <c r="H201" s="14">
        <v>0</v>
      </c>
      <c r="I201" s="14">
        <v>0</v>
      </c>
      <c r="J201" s="14"/>
      <c r="K201" s="162"/>
    </row>
    <row r="202" spans="1:12" x14ac:dyDescent="0.2">
      <c r="A202" s="220"/>
      <c r="B202" s="225"/>
      <c r="C202" s="227"/>
      <c r="D202" s="230"/>
      <c r="E202" s="137">
        <v>2017</v>
      </c>
      <c r="F202" s="14">
        <f>SUM(G202:I202)</f>
        <v>30000</v>
      </c>
      <c r="G202" s="14"/>
      <c r="H202" s="14">
        <v>0</v>
      </c>
      <c r="I202" s="14">
        <v>30000</v>
      </c>
      <c r="J202" s="14"/>
      <c r="K202" s="162"/>
    </row>
    <row r="203" spans="1:12" x14ac:dyDescent="0.2">
      <c r="A203" s="220"/>
      <c r="B203" s="225"/>
      <c r="C203" s="227"/>
      <c r="D203" s="230"/>
      <c r="E203" s="137">
        <v>2018</v>
      </c>
      <c r="F203" s="14">
        <f>SUM(G203:I203)</f>
        <v>0</v>
      </c>
      <c r="G203" s="14"/>
      <c r="H203" s="14">
        <v>0</v>
      </c>
      <c r="I203" s="14">
        <v>0</v>
      </c>
      <c r="J203" s="14"/>
      <c r="K203" s="162"/>
    </row>
    <row r="204" spans="1:12" ht="27.75" customHeight="1" thickBot="1" x14ac:dyDescent="0.25">
      <c r="A204" s="220"/>
      <c r="B204" s="225"/>
      <c r="C204" s="228"/>
      <c r="D204" s="231"/>
      <c r="E204" s="24" t="s">
        <v>18</v>
      </c>
      <c r="F204" s="13">
        <f>SUM(F200:F203)</f>
        <v>30000</v>
      </c>
      <c r="G204" s="13"/>
      <c r="H204" s="13">
        <f>SUM(H200:H201)</f>
        <v>0</v>
      </c>
      <c r="I204" s="13">
        <f>SUM(I200:I203)</f>
        <v>30000</v>
      </c>
      <c r="J204" s="14"/>
      <c r="K204" s="165"/>
    </row>
    <row r="205" spans="1:12" ht="15" x14ac:dyDescent="0.2">
      <c r="A205" s="49" t="s">
        <v>151</v>
      </c>
      <c r="B205" s="133"/>
      <c r="C205" s="41"/>
      <c r="D205" s="50"/>
      <c r="E205" s="24"/>
      <c r="F205" s="3"/>
      <c r="G205" s="3"/>
      <c r="H205" s="3"/>
      <c r="I205" s="3"/>
      <c r="J205" s="2"/>
      <c r="K205" s="137"/>
    </row>
    <row r="206" spans="1:12" x14ac:dyDescent="0.2">
      <c r="A206" s="220" t="s">
        <v>74</v>
      </c>
      <c r="B206" s="221" t="s">
        <v>282</v>
      </c>
      <c r="C206" s="158" t="s">
        <v>75</v>
      </c>
      <c r="D206" s="161" t="s">
        <v>255</v>
      </c>
      <c r="E206" s="137">
        <v>2015</v>
      </c>
      <c r="F206" s="14">
        <f t="shared" ref="F206:F211" si="8">SUM(G206:I206)</f>
        <v>11247</v>
      </c>
      <c r="G206" s="14"/>
      <c r="H206" s="14">
        <v>11106</v>
      </c>
      <c r="I206" s="14">
        <f>176.6-5-30.6</f>
        <v>141</v>
      </c>
      <c r="J206" s="14"/>
      <c r="K206" s="161" t="s">
        <v>180</v>
      </c>
    </row>
    <row r="207" spans="1:12" x14ac:dyDescent="0.2">
      <c r="A207" s="220"/>
      <c r="B207" s="222"/>
      <c r="C207" s="176"/>
      <c r="D207" s="162"/>
      <c r="E207" s="137">
        <v>2016</v>
      </c>
      <c r="F207" s="14">
        <f t="shared" si="8"/>
        <v>18177.099999999995</v>
      </c>
      <c r="G207" s="14"/>
      <c r="H207" s="14">
        <v>0</v>
      </c>
      <c r="I207" s="14">
        <f>329.1+8010.2+741.4+6855.2- 5378.5-329.1+7910+38.8</f>
        <v>18177.099999999995</v>
      </c>
      <c r="J207" s="14"/>
      <c r="K207" s="162"/>
      <c r="L207" s="4" t="s">
        <v>317</v>
      </c>
    </row>
    <row r="208" spans="1:12" x14ac:dyDescent="0.2">
      <c r="A208" s="220"/>
      <c r="B208" s="222"/>
      <c r="C208" s="176"/>
      <c r="D208" s="162"/>
      <c r="E208" s="137">
        <v>2017</v>
      </c>
      <c r="F208" s="14">
        <f t="shared" si="8"/>
        <v>0</v>
      </c>
      <c r="G208" s="14"/>
      <c r="H208" s="14">
        <v>0</v>
      </c>
      <c r="I208" s="14">
        <v>0</v>
      </c>
      <c r="J208" s="14"/>
      <c r="K208" s="162"/>
    </row>
    <row r="209" spans="1:33" x14ac:dyDescent="0.2">
      <c r="A209" s="220"/>
      <c r="B209" s="222"/>
      <c r="C209" s="176"/>
      <c r="D209" s="162"/>
      <c r="E209" s="137">
        <v>2018</v>
      </c>
      <c r="F209" s="14">
        <f t="shared" si="8"/>
        <v>0</v>
      </c>
      <c r="G209" s="14"/>
      <c r="H209" s="14">
        <f>5675-5675</f>
        <v>0</v>
      </c>
      <c r="I209" s="14">
        <f>299-299</f>
        <v>0</v>
      </c>
      <c r="J209" s="14"/>
      <c r="K209" s="162"/>
      <c r="L209" s="4" t="s">
        <v>307</v>
      </c>
    </row>
    <row r="210" spans="1:33" x14ac:dyDescent="0.2">
      <c r="A210" s="220"/>
      <c r="B210" s="222"/>
      <c r="C210" s="176"/>
      <c r="D210" s="162"/>
      <c r="E210" s="137">
        <v>2019</v>
      </c>
      <c r="F210" s="14">
        <f t="shared" si="8"/>
        <v>0</v>
      </c>
      <c r="G210" s="14"/>
      <c r="H210" s="14">
        <f>23675-23675</f>
        <v>0</v>
      </c>
      <c r="I210" s="14">
        <f>1246-1246</f>
        <v>0</v>
      </c>
      <c r="J210" s="14"/>
      <c r="K210" s="162"/>
      <c r="L210" s="125" t="s">
        <v>307</v>
      </c>
    </row>
    <row r="211" spans="1:33" x14ac:dyDescent="0.2">
      <c r="A211" s="220"/>
      <c r="B211" s="222"/>
      <c r="C211" s="176"/>
      <c r="D211" s="162"/>
      <c r="E211" s="137">
        <v>2020</v>
      </c>
      <c r="F211" s="14">
        <f t="shared" si="8"/>
        <v>17771.5</v>
      </c>
      <c r="G211" s="14"/>
      <c r="H211" s="14">
        <v>16882.5</v>
      </c>
      <c r="I211" s="14">
        <f>615+274</f>
        <v>889</v>
      </c>
      <c r="J211" s="14"/>
      <c r="K211" s="162"/>
    </row>
    <row r="212" spans="1:33" ht="60" customHeight="1" x14ac:dyDescent="0.2">
      <c r="A212" s="233"/>
      <c r="B212" s="223"/>
      <c r="C212" s="213"/>
      <c r="D212" s="165"/>
      <c r="E212" s="32" t="s">
        <v>18</v>
      </c>
      <c r="F212" s="51">
        <f>SUM(F206:F211)</f>
        <v>47195.599999999991</v>
      </c>
      <c r="G212" s="51">
        <f>SUM(G206:G211)</f>
        <v>0</v>
      </c>
      <c r="H212" s="51">
        <f>SUM(H206:H211)</f>
        <v>27988.5</v>
      </c>
      <c r="I212" s="51">
        <f>SUM(I206:I211)</f>
        <v>19207.099999999995</v>
      </c>
      <c r="J212" s="28"/>
      <c r="K212" s="165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</row>
    <row r="213" spans="1:33" x14ac:dyDescent="0.2">
      <c r="A213" s="234" t="s">
        <v>283</v>
      </c>
      <c r="B213" s="221" t="s">
        <v>285</v>
      </c>
      <c r="C213" s="158" t="s">
        <v>284</v>
      </c>
      <c r="D213" s="161" t="s">
        <v>255</v>
      </c>
      <c r="E213" s="137">
        <v>2016</v>
      </c>
      <c r="F213" s="14">
        <f t="shared" ref="F213:F214" si="9">SUM(G213:I213)</f>
        <v>63958.799999999996</v>
      </c>
      <c r="G213" s="14"/>
      <c r="H213" s="14">
        <v>63319.199999999997</v>
      </c>
      <c r="I213" s="14">
        <v>639.6</v>
      </c>
      <c r="J213" s="14"/>
      <c r="K213" s="161" t="s">
        <v>180</v>
      </c>
    </row>
    <row r="214" spans="1:33" x14ac:dyDescent="0.2">
      <c r="A214" s="235"/>
      <c r="B214" s="222"/>
      <c r="C214" s="176"/>
      <c r="D214" s="162"/>
      <c r="E214" s="137">
        <v>2017</v>
      </c>
      <c r="F214" s="14">
        <f t="shared" si="9"/>
        <v>37532.400000000001</v>
      </c>
      <c r="G214" s="14"/>
      <c r="H214" s="14">
        <f>0+37157.1</f>
        <v>37157.1</v>
      </c>
      <c r="I214" s="14">
        <f>0+375.3</f>
        <v>375.3</v>
      </c>
      <c r="J214" s="14"/>
      <c r="K214" s="162"/>
      <c r="L214" s="125" t="s">
        <v>291</v>
      </c>
    </row>
    <row r="215" spans="1:33" ht="109.5" customHeight="1" x14ac:dyDescent="0.2">
      <c r="A215" s="236"/>
      <c r="B215" s="223"/>
      <c r="C215" s="213"/>
      <c r="D215" s="165"/>
      <c r="E215" s="32" t="s">
        <v>18</v>
      </c>
      <c r="F215" s="51">
        <f>SUM(F213:F214)</f>
        <v>101491.2</v>
      </c>
      <c r="G215" s="51">
        <f>SUM(G213:G214)</f>
        <v>0</v>
      </c>
      <c r="H215" s="51">
        <f>SUM(H213:H214)</f>
        <v>100476.29999999999</v>
      </c>
      <c r="I215" s="51">
        <f>SUM(I213:I214)</f>
        <v>1014.9000000000001</v>
      </c>
      <c r="J215" s="28"/>
      <c r="K215" s="165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</row>
    <row r="216" spans="1:33" x14ac:dyDescent="0.2">
      <c r="A216" s="234" t="s">
        <v>286</v>
      </c>
      <c r="B216" s="221" t="s">
        <v>336</v>
      </c>
      <c r="C216" s="158" t="s">
        <v>284</v>
      </c>
      <c r="D216" s="161" t="s">
        <v>255</v>
      </c>
      <c r="E216" s="137">
        <v>2017</v>
      </c>
      <c r="F216" s="14">
        <f t="shared" ref="F216" si="10">SUM(G216:I216)</f>
        <v>22465.050000000003</v>
      </c>
      <c r="G216" s="14"/>
      <c r="H216" s="14">
        <v>22240.400000000001</v>
      </c>
      <c r="I216" s="14">
        <v>224.65</v>
      </c>
      <c r="J216" s="14"/>
      <c r="K216" s="161" t="s">
        <v>180</v>
      </c>
    </row>
    <row r="217" spans="1:33" ht="109.5" customHeight="1" x14ac:dyDescent="0.2">
      <c r="A217" s="236"/>
      <c r="B217" s="223"/>
      <c r="C217" s="213"/>
      <c r="D217" s="165"/>
      <c r="E217" s="32" t="s">
        <v>18</v>
      </c>
      <c r="F217" s="51">
        <f>SUM(F216:F216)</f>
        <v>22465.050000000003</v>
      </c>
      <c r="G217" s="51">
        <f>SUM(G216:G216)</f>
        <v>0</v>
      </c>
      <c r="H217" s="51">
        <f>SUM(H216:H216)</f>
        <v>22240.400000000001</v>
      </c>
      <c r="I217" s="51">
        <f>SUM(I216:I216)</f>
        <v>224.65</v>
      </c>
      <c r="J217" s="28"/>
      <c r="K217" s="165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</row>
    <row r="218" spans="1:33" ht="14.25" customHeight="1" x14ac:dyDescent="0.2">
      <c r="A218" s="201" t="s">
        <v>253</v>
      </c>
      <c r="B218" s="232"/>
      <c r="C218" s="232"/>
      <c r="D218" s="232"/>
      <c r="E218" s="232"/>
      <c r="F218" s="232"/>
      <c r="G218" s="232"/>
      <c r="H218" s="232"/>
      <c r="I218" s="232"/>
      <c r="J218" s="232"/>
      <c r="K218" s="23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34"/>
    </row>
    <row r="219" spans="1:33" x14ac:dyDescent="0.2">
      <c r="A219" s="220" t="s">
        <v>146</v>
      </c>
      <c r="B219" s="175" t="s">
        <v>181</v>
      </c>
      <c r="C219" s="158" t="s">
        <v>75</v>
      </c>
      <c r="D219" s="161" t="s">
        <v>255</v>
      </c>
      <c r="E219" s="137">
        <v>2015</v>
      </c>
      <c r="F219" s="14">
        <f>SUM(G219:I219)</f>
        <v>3333.3</v>
      </c>
      <c r="G219" s="14"/>
      <c r="H219" s="14">
        <v>3300</v>
      </c>
      <c r="I219" s="14">
        <v>33.299999999999997</v>
      </c>
      <c r="J219" s="14"/>
      <c r="K219" s="161" t="s">
        <v>180</v>
      </c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</row>
    <row r="220" spans="1:33" x14ac:dyDescent="0.2">
      <c r="A220" s="220"/>
      <c r="B220" s="193"/>
      <c r="C220" s="176"/>
      <c r="D220" s="162"/>
      <c r="E220" s="137">
        <v>2016</v>
      </c>
      <c r="F220" s="14">
        <f>SUM(G220:I220)</f>
        <v>7820.0999999999995</v>
      </c>
      <c r="G220" s="14"/>
      <c r="H220" s="14">
        <f>0+7375.9</f>
        <v>7375.9</v>
      </c>
      <c r="I220" s="14">
        <f>369.7+74.5</f>
        <v>444.2</v>
      </c>
      <c r="J220" s="14"/>
      <c r="K220" s="162"/>
      <c r="L220" s="4" t="s">
        <v>318</v>
      </c>
    </row>
    <row r="221" spans="1:33" x14ac:dyDescent="0.2">
      <c r="A221" s="220"/>
      <c r="B221" s="193"/>
      <c r="C221" s="176"/>
      <c r="D221" s="162"/>
      <c r="E221" s="137">
        <v>2017</v>
      </c>
      <c r="F221" s="14"/>
      <c r="G221" s="14"/>
      <c r="H221" s="14"/>
      <c r="I221" s="14"/>
      <c r="J221" s="14"/>
      <c r="K221" s="162"/>
    </row>
    <row r="222" spans="1:33" x14ac:dyDescent="0.2">
      <c r="A222" s="220"/>
      <c r="B222" s="193"/>
      <c r="C222" s="176"/>
      <c r="D222" s="162"/>
      <c r="E222" s="137">
        <v>2018</v>
      </c>
      <c r="F222" s="14"/>
      <c r="G222" s="14"/>
      <c r="H222" s="14"/>
      <c r="I222" s="14"/>
      <c r="J222" s="14"/>
      <c r="K222" s="162"/>
    </row>
    <row r="223" spans="1:33" x14ac:dyDescent="0.2">
      <c r="A223" s="220"/>
      <c r="B223" s="193"/>
      <c r="C223" s="176"/>
      <c r="D223" s="162"/>
      <c r="E223" s="137">
        <v>2019</v>
      </c>
      <c r="F223" s="14"/>
      <c r="G223" s="14"/>
      <c r="H223" s="14"/>
      <c r="I223" s="14"/>
      <c r="J223" s="14"/>
      <c r="K223" s="162"/>
    </row>
    <row r="224" spans="1:33" x14ac:dyDescent="0.2">
      <c r="A224" s="220"/>
      <c r="B224" s="193"/>
      <c r="C224" s="176"/>
      <c r="D224" s="162"/>
      <c r="E224" s="137">
        <v>2020</v>
      </c>
      <c r="F224" s="14"/>
      <c r="G224" s="14"/>
      <c r="H224" s="14"/>
      <c r="I224" s="14"/>
      <c r="J224" s="14"/>
      <c r="K224" s="162"/>
    </row>
    <row r="225" spans="1:32" ht="60.75" customHeight="1" x14ac:dyDescent="0.2">
      <c r="A225" s="220"/>
      <c r="B225" s="193"/>
      <c r="C225" s="213"/>
      <c r="D225" s="165"/>
      <c r="E225" s="24" t="s">
        <v>18</v>
      </c>
      <c r="F225" s="13">
        <f>SUM(F219:F224)</f>
        <v>11153.4</v>
      </c>
      <c r="G225" s="13"/>
      <c r="H225" s="13">
        <f>SUM(H219:H224)</f>
        <v>10675.9</v>
      </c>
      <c r="I225" s="13">
        <f>SUM(I219:I224)</f>
        <v>477.5</v>
      </c>
      <c r="J225" s="14"/>
      <c r="K225" s="165"/>
    </row>
    <row r="226" spans="1:32" ht="15" customHeight="1" x14ac:dyDescent="0.2">
      <c r="A226" s="326" t="s">
        <v>27</v>
      </c>
      <c r="B226" s="214" t="s">
        <v>290</v>
      </c>
      <c r="C226" s="158" t="s">
        <v>254</v>
      </c>
      <c r="D226" s="161" t="s">
        <v>255</v>
      </c>
      <c r="E226" s="137">
        <v>2016</v>
      </c>
      <c r="F226" s="28">
        <f>G226+H226+I226</f>
        <v>10976.3</v>
      </c>
      <c r="G226" s="51"/>
      <c r="H226" s="51"/>
      <c r="I226" s="28">
        <f>5500+3899.9+1247.3+329.1</f>
        <v>10976.3</v>
      </c>
      <c r="J226" s="28"/>
      <c r="K226" s="161" t="s">
        <v>174</v>
      </c>
      <c r="L226" s="4" t="s">
        <v>319</v>
      </c>
    </row>
    <row r="227" spans="1:32" ht="13.5" customHeight="1" x14ac:dyDescent="0.2">
      <c r="A227" s="327"/>
      <c r="B227" s="215"/>
      <c r="C227" s="176"/>
      <c r="D227" s="162"/>
      <c r="E227" s="137">
        <v>2017</v>
      </c>
      <c r="F227" s="28">
        <f>G227+H227+I227</f>
        <v>6314</v>
      </c>
      <c r="G227" s="51"/>
      <c r="H227" s="51"/>
      <c r="I227" s="28">
        <f>5797.7+516.3</f>
        <v>6314</v>
      </c>
      <c r="J227" s="28"/>
      <c r="K227" s="162"/>
      <c r="L227" s="150" t="s">
        <v>291</v>
      </c>
      <c r="M227" s="412" t="s">
        <v>293</v>
      </c>
      <c r="N227" s="412"/>
      <c r="O227" s="412"/>
      <c r="P227" s="125" t="s">
        <v>297</v>
      </c>
    </row>
    <row r="228" spans="1:32" ht="18.75" customHeight="1" x14ac:dyDescent="0.2">
      <c r="A228" s="327"/>
      <c r="B228" s="215"/>
      <c r="C228" s="176"/>
      <c r="D228" s="162"/>
      <c r="E228" s="137">
        <v>2018</v>
      </c>
      <c r="F228" s="28">
        <f>G228+H228+I228</f>
        <v>1200</v>
      </c>
      <c r="G228" s="51"/>
      <c r="H228" s="51"/>
      <c r="I228" s="28">
        <f>1000+200</f>
        <v>1200</v>
      </c>
      <c r="J228" s="28"/>
      <c r="K228" s="162"/>
      <c r="L228" s="125" t="s">
        <v>291</v>
      </c>
      <c r="M228" s="125" t="s">
        <v>308</v>
      </c>
    </row>
    <row r="229" spans="1:32" ht="16.5" customHeight="1" x14ac:dyDescent="0.2">
      <c r="A229" s="327"/>
      <c r="B229" s="215"/>
      <c r="C229" s="176"/>
      <c r="D229" s="162"/>
      <c r="E229" s="137">
        <v>2019</v>
      </c>
      <c r="F229" s="28">
        <f>G229+H229+I229</f>
        <v>11532.2</v>
      </c>
      <c r="G229" s="51"/>
      <c r="H229" s="51"/>
      <c r="I229" s="28">
        <f>11232.2+300</f>
        <v>11532.2</v>
      </c>
      <c r="J229" s="28"/>
      <c r="K229" s="162"/>
      <c r="L229" s="125" t="s">
        <v>291</v>
      </c>
      <c r="M229" s="125" t="s">
        <v>313</v>
      </c>
    </row>
    <row r="230" spans="1:32" ht="15.75" customHeight="1" x14ac:dyDescent="0.2">
      <c r="A230" s="327"/>
      <c r="B230" s="215"/>
      <c r="C230" s="176"/>
      <c r="D230" s="162"/>
      <c r="E230" s="137">
        <v>2020</v>
      </c>
      <c r="F230" s="51"/>
      <c r="G230" s="51"/>
      <c r="H230" s="51"/>
      <c r="I230" s="51"/>
      <c r="J230" s="28"/>
      <c r="K230" s="162"/>
    </row>
    <row r="231" spans="1:32" ht="16.5" customHeight="1" x14ac:dyDescent="0.2">
      <c r="A231" s="344"/>
      <c r="B231" s="174"/>
      <c r="C231" s="213"/>
      <c r="D231" s="165"/>
      <c r="E231" s="32" t="s">
        <v>18</v>
      </c>
      <c r="F231" s="51">
        <f>SUM(F226:F230)</f>
        <v>30022.5</v>
      </c>
      <c r="G231" s="51"/>
      <c r="H231" s="51">
        <v>0</v>
      </c>
      <c r="I231" s="51">
        <f>SUM(I226:I230)</f>
        <v>30022.5</v>
      </c>
      <c r="J231" s="28"/>
      <c r="K231" s="165"/>
    </row>
    <row r="232" spans="1:32" ht="15" customHeight="1" x14ac:dyDescent="0.2">
      <c r="A232" s="201" t="s">
        <v>221</v>
      </c>
      <c r="B232" s="202"/>
      <c r="C232" s="202"/>
      <c r="D232" s="202"/>
      <c r="E232" s="202"/>
      <c r="F232" s="202"/>
      <c r="G232" s="202"/>
      <c r="H232" s="202"/>
      <c r="I232" s="202"/>
      <c r="J232" s="202"/>
      <c r="K232" s="20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2"/>
      <c r="AF232" s="52"/>
    </row>
    <row r="233" spans="1:32" ht="12.75" customHeight="1" x14ac:dyDescent="0.2">
      <c r="A233" s="203" t="s">
        <v>163</v>
      </c>
      <c r="B233" s="175" t="s">
        <v>76</v>
      </c>
      <c r="C233" s="184" t="s">
        <v>75</v>
      </c>
      <c r="D233" s="204" t="s">
        <v>255</v>
      </c>
      <c r="E233" s="137">
        <v>2015</v>
      </c>
      <c r="F233" s="14">
        <f t="shared" ref="F233:F238" si="11">SUM(G233:I233)</f>
        <v>28178.2</v>
      </c>
      <c r="G233" s="14"/>
      <c r="H233" s="14"/>
      <c r="I233" s="14">
        <f>27846.2+850-518</f>
        <v>28178.2</v>
      </c>
      <c r="J233" s="14"/>
      <c r="K233" s="161" t="s">
        <v>172</v>
      </c>
      <c r="L233" s="130" t="s">
        <v>296</v>
      </c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</row>
    <row r="234" spans="1:32" ht="12.75" customHeight="1" x14ac:dyDescent="0.2">
      <c r="A234" s="203"/>
      <c r="B234" s="193"/>
      <c r="C234" s="184"/>
      <c r="D234" s="204"/>
      <c r="E234" s="137">
        <v>2016</v>
      </c>
      <c r="F234" s="14">
        <f t="shared" si="11"/>
        <v>27397.3</v>
      </c>
      <c r="G234" s="14"/>
      <c r="H234" s="14"/>
      <c r="I234" s="14">
        <f>29107-180-453.2-1076.5</f>
        <v>27397.3</v>
      </c>
      <c r="J234" s="14"/>
      <c r="K234" s="162"/>
      <c r="L234" s="53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</row>
    <row r="235" spans="1:32" ht="12.75" customHeight="1" x14ac:dyDescent="0.2">
      <c r="A235" s="203"/>
      <c r="B235" s="193"/>
      <c r="C235" s="184"/>
      <c r="D235" s="204"/>
      <c r="E235" s="137">
        <v>2017</v>
      </c>
      <c r="F235" s="14">
        <f t="shared" si="11"/>
        <v>28167.4</v>
      </c>
      <c r="G235" s="14"/>
      <c r="H235" s="14"/>
      <c r="I235" s="14">
        <f>30044.9-1877.5</f>
        <v>28167.4</v>
      </c>
      <c r="J235" s="14"/>
      <c r="K235" s="162"/>
      <c r="L235" s="130" t="s">
        <v>292</v>
      </c>
      <c r="M235" s="130" t="s">
        <v>320</v>
      </c>
      <c r="N235" s="34"/>
      <c r="O235" s="34"/>
      <c r="P235" s="130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</row>
    <row r="236" spans="1:32" ht="12.75" customHeight="1" x14ac:dyDescent="0.2">
      <c r="A236" s="203"/>
      <c r="B236" s="193"/>
      <c r="C236" s="184"/>
      <c r="D236" s="204"/>
      <c r="E236" s="137">
        <v>2018</v>
      </c>
      <c r="F236" s="14">
        <f t="shared" si="11"/>
        <v>18702.8</v>
      </c>
      <c r="G236" s="14"/>
      <c r="H236" s="14"/>
      <c r="I236" s="14">
        <f>18191.2+511.6</f>
        <v>18702.8</v>
      </c>
      <c r="J236" s="14"/>
      <c r="K236" s="162"/>
      <c r="L236" s="130" t="s">
        <v>292</v>
      </c>
      <c r="M236" s="130" t="s">
        <v>321</v>
      </c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</row>
    <row r="237" spans="1:32" ht="12.75" customHeight="1" x14ac:dyDescent="0.2">
      <c r="A237" s="203"/>
      <c r="B237" s="193"/>
      <c r="C237" s="184"/>
      <c r="D237" s="204"/>
      <c r="E237" s="137">
        <v>2019</v>
      </c>
      <c r="F237" s="14">
        <f t="shared" si="11"/>
        <v>21130.9</v>
      </c>
      <c r="G237" s="14"/>
      <c r="H237" s="14"/>
      <c r="I237" s="14">
        <f>29360.4-8229.5</f>
        <v>21130.9</v>
      </c>
      <c r="J237" s="14"/>
      <c r="K237" s="162"/>
      <c r="L237" s="130" t="s">
        <v>292</v>
      </c>
      <c r="M237" s="130" t="s">
        <v>322</v>
      </c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</row>
    <row r="238" spans="1:32" ht="12.75" customHeight="1" x14ac:dyDescent="0.2">
      <c r="A238" s="203"/>
      <c r="B238" s="193"/>
      <c r="C238" s="184"/>
      <c r="D238" s="204"/>
      <c r="E238" s="137">
        <v>2020</v>
      </c>
      <c r="F238" s="14">
        <f t="shared" si="11"/>
        <v>28083.200000000001</v>
      </c>
      <c r="G238" s="14"/>
      <c r="H238" s="14"/>
      <c r="I238" s="14">
        <v>28083.200000000001</v>
      </c>
      <c r="J238" s="14"/>
      <c r="K238" s="162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F238" s="34"/>
    </row>
    <row r="239" spans="1:32" ht="36" customHeight="1" x14ac:dyDescent="0.2">
      <c r="A239" s="203"/>
      <c r="B239" s="193"/>
      <c r="C239" s="184"/>
      <c r="D239" s="204"/>
      <c r="E239" s="32" t="s">
        <v>18</v>
      </c>
      <c r="F239" s="51">
        <f>SUM(F233:F238)</f>
        <v>151659.80000000002</v>
      </c>
      <c r="G239" s="51"/>
      <c r="H239" s="51"/>
      <c r="I239" s="51">
        <f>SUM(I233:I238)</f>
        <v>151659.80000000002</v>
      </c>
      <c r="J239" s="28"/>
      <c r="K239" s="165"/>
    </row>
    <row r="240" spans="1:32" ht="16.5" customHeight="1" x14ac:dyDescent="0.2">
      <c r="A240" s="205" t="s">
        <v>257</v>
      </c>
      <c r="B240" s="206"/>
      <c r="C240" s="206"/>
      <c r="D240" s="206"/>
      <c r="E240" s="32" t="s">
        <v>18</v>
      </c>
      <c r="F240" s="17">
        <f>F239+F225+F212+F199+F192+F231+F215+F217+F204</f>
        <v>511468.94999999995</v>
      </c>
      <c r="G240" s="19"/>
      <c r="H240" s="17">
        <f>H225+H212+H199+H192+H231+H215+H217</f>
        <v>277682.7</v>
      </c>
      <c r="I240" s="17">
        <f>I239+I225+I212+I199+I192+I231+I215+I217+I204</f>
        <v>233786.25</v>
      </c>
      <c r="J240" s="44"/>
      <c r="K240" s="43"/>
    </row>
    <row r="241" spans="1:36" ht="18.75" customHeight="1" x14ac:dyDescent="0.25">
      <c r="A241" s="207" t="s">
        <v>77</v>
      </c>
      <c r="B241" s="207"/>
      <c r="C241" s="207"/>
      <c r="D241" s="207"/>
      <c r="E241" s="207"/>
      <c r="F241" s="207"/>
      <c r="G241" s="207"/>
      <c r="H241" s="207"/>
      <c r="I241" s="207"/>
      <c r="J241" s="207"/>
      <c r="K241" s="207"/>
    </row>
    <row r="242" spans="1:36" ht="31.5" customHeight="1" x14ac:dyDescent="0.2">
      <c r="A242" s="208" t="s">
        <v>78</v>
      </c>
      <c r="B242" s="209"/>
      <c r="C242" s="209"/>
      <c r="D242" s="209"/>
      <c r="E242" s="209"/>
      <c r="F242" s="209"/>
      <c r="G242" s="209"/>
      <c r="H242" s="209"/>
      <c r="I242" s="209"/>
      <c r="J242" s="209"/>
      <c r="K242" s="209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34"/>
      <c r="AH242" s="34"/>
      <c r="AI242" s="34"/>
      <c r="AJ242" s="34"/>
    </row>
    <row r="243" spans="1:36" x14ac:dyDescent="0.2">
      <c r="A243" s="203" t="s">
        <v>79</v>
      </c>
      <c r="B243" s="210" t="s">
        <v>274</v>
      </c>
      <c r="C243" s="158" t="s">
        <v>75</v>
      </c>
      <c r="D243" s="161" t="s">
        <v>255</v>
      </c>
      <c r="E243" s="137">
        <v>2015</v>
      </c>
      <c r="F243" s="14">
        <f t="shared" ref="F243:F248" si="12">SUM(G243:J243)</f>
        <v>471461.89999999997</v>
      </c>
      <c r="G243" s="14"/>
      <c r="H243" s="14">
        <f>457488.8+13973.1</f>
        <v>471461.89999999997</v>
      </c>
      <c r="I243" s="14"/>
      <c r="J243" s="14"/>
      <c r="K243" s="161" t="s">
        <v>182</v>
      </c>
    </row>
    <row r="244" spans="1:36" x14ac:dyDescent="0.2">
      <c r="A244" s="203"/>
      <c r="B244" s="211"/>
      <c r="C244" s="176"/>
      <c r="D244" s="162"/>
      <c r="E244" s="137">
        <v>2016</v>
      </c>
      <c r="F244" s="14">
        <f t="shared" si="12"/>
        <v>485636.2</v>
      </c>
      <c r="G244" s="14"/>
      <c r="H244" s="14">
        <f>503346-17709.8</f>
        <v>485636.2</v>
      </c>
      <c r="I244" s="14"/>
      <c r="J244" s="14"/>
      <c r="K244" s="162"/>
      <c r="L244" s="125" t="s">
        <v>301</v>
      </c>
    </row>
    <row r="245" spans="1:36" x14ac:dyDescent="0.2">
      <c r="A245" s="203"/>
      <c r="B245" s="211"/>
      <c r="C245" s="176"/>
      <c r="D245" s="162"/>
      <c r="E245" s="137">
        <v>2017</v>
      </c>
      <c r="F245" s="14">
        <f t="shared" si="12"/>
        <v>471021.19999999995</v>
      </c>
      <c r="G245" s="14"/>
      <c r="H245" s="14">
        <f>481675.6-10654.4</f>
        <v>471021.19999999995</v>
      </c>
      <c r="I245" s="14"/>
      <c r="J245" s="14"/>
      <c r="K245" s="162"/>
      <c r="L245" s="125" t="s">
        <v>292</v>
      </c>
      <c r="M245" s="132"/>
      <c r="N245" s="125" t="s">
        <v>323</v>
      </c>
    </row>
    <row r="246" spans="1:36" x14ac:dyDescent="0.2">
      <c r="A246" s="203"/>
      <c r="B246" s="211"/>
      <c r="C246" s="176"/>
      <c r="D246" s="162"/>
      <c r="E246" s="137">
        <v>2018</v>
      </c>
      <c r="F246" s="14">
        <f t="shared" si="12"/>
        <v>406742.8</v>
      </c>
      <c r="G246" s="14"/>
      <c r="H246" s="14">
        <f>731140-0-324397.2</f>
        <v>406742.8</v>
      </c>
      <c r="I246" s="14"/>
      <c r="J246" s="14"/>
      <c r="K246" s="162"/>
      <c r="L246" s="125" t="s">
        <v>292</v>
      </c>
      <c r="M246" s="132"/>
      <c r="N246" s="125" t="s">
        <v>324</v>
      </c>
    </row>
    <row r="247" spans="1:36" x14ac:dyDescent="0.2">
      <c r="A247" s="203"/>
      <c r="B247" s="211"/>
      <c r="C247" s="176"/>
      <c r="D247" s="162"/>
      <c r="E247" s="137">
        <v>2019</v>
      </c>
      <c r="F247" s="14">
        <f t="shared" si="12"/>
        <v>426556.3</v>
      </c>
      <c r="G247" s="14"/>
      <c r="H247" s="14">
        <f>773900-347343.7</f>
        <v>426556.3</v>
      </c>
      <c r="I247" s="14"/>
      <c r="J247" s="14"/>
      <c r="K247" s="162"/>
      <c r="L247" s="125" t="s">
        <v>292</v>
      </c>
      <c r="M247" s="132"/>
      <c r="N247" s="125" t="s">
        <v>325</v>
      </c>
    </row>
    <row r="248" spans="1:36" x14ac:dyDescent="0.2">
      <c r="A248" s="203"/>
      <c r="B248" s="211"/>
      <c r="C248" s="176"/>
      <c r="D248" s="162"/>
      <c r="E248" s="137">
        <v>2020</v>
      </c>
      <c r="F248" s="14">
        <f t="shared" si="12"/>
        <v>823140</v>
      </c>
      <c r="G248" s="14"/>
      <c r="H248" s="14">
        <v>823140</v>
      </c>
      <c r="I248" s="14"/>
      <c r="J248" s="14"/>
      <c r="K248" s="162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</row>
    <row r="249" spans="1:36" ht="37.5" customHeight="1" x14ac:dyDescent="0.2">
      <c r="A249" s="203"/>
      <c r="B249" s="212"/>
      <c r="C249" s="213"/>
      <c r="D249" s="162"/>
      <c r="E249" s="24" t="s">
        <v>18</v>
      </c>
      <c r="F249" s="13">
        <f>SUM(F243:F248)</f>
        <v>3084558.4</v>
      </c>
      <c r="G249" s="13"/>
      <c r="H249" s="13">
        <f>SUM(H243:H248)</f>
        <v>3084558.4</v>
      </c>
      <c r="I249" s="13"/>
      <c r="J249" s="13"/>
      <c r="K249" s="165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</row>
    <row r="250" spans="1:36" x14ac:dyDescent="0.2">
      <c r="A250" s="201" t="s">
        <v>80</v>
      </c>
      <c r="B250" s="216"/>
      <c r="C250" s="216"/>
      <c r="D250" s="216"/>
      <c r="E250" s="216"/>
      <c r="F250" s="216"/>
      <c r="G250" s="216"/>
      <c r="H250" s="216"/>
      <c r="I250" s="216"/>
      <c r="J250" s="216"/>
      <c r="K250" s="216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</row>
    <row r="251" spans="1:36" x14ac:dyDescent="0.2">
      <c r="A251" s="197" t="s">
        <v>81</v>
      </c>
      <c r="B251" s="217" t="s">
        <v>252</v>
      </c>
      <c r="C251" s="158" t="s">
        <v>75</v>
      </c>
      <c r="D251" s="161" t="s">
        <v>255</v>
      </c>
      <c r="E251" s="141">
        <v>2015</v>
      </c>
      <c r="F251" s="12">
        <f t="shared" ref="F251:F256" si="13">SUM(H251:I251)</f>
        <v>23806.500000000004</v>
      </c>
      <c r="G251" s="12"/>
      <c r="H251" s="12">
        <f>25365.4-1504.8-54.1</f>
        <v>23806.500000000004</v>
      </c>
      <c r="I251" s="12"/>
      <c r="J251" s="12"/>
      <c r="K251" s="161" t="s">
        <v>183</v>
      </c>
    </row>
    <row r="252" spans="1:36" x14ac:dyDescent="0.2">
      <c r="A252" s="198"/>
      <c r="B252" s="218"/>
      <c r="C252" s="176"/>
      <c r="D252" s="162"/>
      <c r="E252" s="137">
        <v>2016</v>
      </c>
      <c r="F252" s="14">
        <f t="shared" si="13"/>
        <v>12245.599999999999</v>
      </c>
      <c r="G252" s="14"/>
      <c r="H252" s="14">
        <f>12116.8-44.2+173</f>
        <v>12245.599999999999</v>
      </c>
      <c r="I252" s="14"/>
      <c r="J252" s="14"/>
      <c r="K252" s="162"/>
    </row>
    <row r="253" spans="1:36" x14ac:dyDescent="0.2">
      <c r="A253" s="198"/>
      <c r="B253" s="218"/>
      <c r="C253" s="176"/>
      <c r="D253" s="162"/>
      <c r="E253" s="137">
        <v>2017</v>
      </c>
      <c r="F253" s="14">
        <f t="shared" si="13"/>
        <v>12346.000000000002</v>
      </c>
      <c r="G253" s="14"/>
      <c r="H253" s="14">
        <f>27699.9-15353.9</f>
        <v>12346.000000000002</v>
      </c>
      <c r="I253" s="14"/>
      <c r="J253" s="14"/>
      <c r="K253" s="162"/>
      <c r="L253" s="125" t="s">
        <v>292</v>
      </c>
      <c r="N253" s="125" t="s">
        <v>326</v>
      </c>
    </row>
    <row r="254" spans="1:36" x14ac:dyDescent="0.2">
      <c r="A254" s="198"/>
      <c r="B254" s="218"/>
      <c r="C254" s="176"/>
      <c r="D254" s="162"/>
      <c r="E254" s="137">
        <v>2018</v>
      </c>
      <c r="F254" s="14">
        <f t="shared" si="13"/>
        <v>12346</v>
      </c>
      <c r="G254" s="14"/>
      <c r="H254" s="14">
        <f>11926+420</f>
        <v>12346</v>
      </c>
      <c r="I254" s="14"/>
      <c r="J254" s="14"/>
      <c r="K254" s="162"/>
      <c r="L254" s="4" t="s">
        <v>291</v>
      </c>
      <c r="N254" s="4" t="s">
        <v>298</v>
      </c>
    </row>
    <row r="255" spans="1:36" x14ac:dyDescent="0.2">
      <c r="A255" s="198"/>
      <c r="B255" s="218"/>
      <c r="C255" s="176"/>
      <c r="D255" s="162"/>
      <c r="E255" s="137">
        <v>2019</v>
      </c>
      <c r="F255" s="14">
        <f t="shared" si="13"/>
        <v>12346</v>
      </c>
      <c r="G255" s="14"/>
      <c r="H255" s="14">
        <f>11926+420</f>
        <v>12346</v>
      </c>
      <c r="I255" s="14"/>
      <c r="J255" s="14"/>
      <c r="K255" s="162"/>
      <c r="L255" s="4" t="s">
        <v>291</v>
      </c>
      <c r="N255" s="4" t="s">
        <v>298</v>
      </c>
    </row>
    <row r="256" spans="1:36" x14ac:dyDescent="0.2">
      <c r="A256" s="198"/>
      <c r="B256" s="218"/>
      <c r="C256" s="176"/>
      <c r="D256" s="162"/>
      <c r="E256" s="137">
        <v>2020</v>
      </c>
      <c r="F256" s="14">
        <f t="shared" si="13"/>
        <v>0</v>
      </c>
      <c r="G256" s="14"/>
      <c r="H256" s="14"/>
      <c r="I256" s="14"/>
      <c r="J256" s="14"/>
      <c r="K256" s="162"/>
    </row>
    <row r="257" spans="1:32" ht="13.5" thickBot="1" x14ac:dyDescent="0.25">
      <c r="A257" s="199"/>
      <c r="B257" s="219"/>
      <c r="C257" s="213"/>
      <c r="D257" s="162"/>
      <c r="E257" s="24" t="s">
        <v>18</v>
      </c>
      <c r="F257" s="13">
        <f>SUM(F251:F256)</f>
        <v>73090.100000000006</v>
      </c>
      <c r="G257" s="13"/>
      <c r="H257" s="13">
        <f>SUM(H251:H256)</f>
        <v>73090.100000000006</v>
      </c>
      <c r="I257" s="13"/>
      <c r="J257" s="13"/>
      <c r="K257" s="165"/>
    </row>
    <row r="258" spans="1:32" x14ac:dyDescent="0.2">
      <c r="A258" s="198" t="s">
        <v>185</v>
      </c>
      <c r="B258" s="324" t="s">
        <v>184</v>
      </c>
      <c r="C258" s="158" t="s">
        <v>75</v>
      </c>
      <c r="D258" s="161" t="s">
        <v>255</v>
      </c>
      <c r="E258" s="137">
        <v>2015</v>
      </c>
      <c r="F258" s="14"/>
      <c r="G258" s="14"/>
      <c r="H258" s="14"/>
      <c r="I258" s="14"/>
      <c r="J258" s="14"/>
      <c r="K258" s="161" t="s">
        <v>186</v>
      </c>
    </row>
    <row r="259" spans="1:32" x14ac:dyDescent="0.2">
      <c r="A259" s="198"/>
      <c r="B259" s="218"/>
      <c r="C259" s="176"/>
      <c r="D259" s="162"/>
      <c r="E259" s="137">
        <v>2016</v>
      </c>
      <c r="F259" s="14"/>
      <c r="G259" s="14"/>
      <c r="H259" s="14"/>
      <c r="I259" s="14"/>
      <c r="J259" s="14"/>
      <c r="K259" s="162"/>
    </row>
    <row r="260" spans="1:32" x14ac:dyDescent="0.2">
      <c r="A260" s="198"/>
      <c r="B260" s="218"/>
      <c r="C260" s="176"/>
      <c r="D260" s="162"/>
      <c r="E260" s="137">
        <v>2017</v>
      </c>
      <c r="F260" s="14"/>
      <c r="G260" s="14"/>
      <c r="H260" s="14"/>
      <c r="I260" s="14"/>
      <c r="J260" s="14"/>
      <c r="K260" s="162"/>
    </row>
    <row r="261" spans="1:32" x14ac:dyDescent="0.2">
      <c r="A261" s="198"/>
      <c r="B261" s="218"/>
      <c r="C261" s="176"/>
      <c r="D261" s="162"/>
      <c r="E261" s="137">
        <v>2018</v>
      </c>
      <c r="F261" s="14"/>
      <c r="G261" s="14"/>
      <c r="H261" s="14"/>
      <c r="I261" s="14"/>
      <c r="J261" s="14"/>
      <c r="K261" s="162"/>
    </row>
    <row r="262" spans="1:32" x14ac:dyDescent="0.2">
      <c r="A262" s="198"/>
      <c r="B262" s="218"/>
      <c r="C262" s="176"/>
      <c r="D262" s="162"/>
      <c r="E262" s="137">
        <v>2019</v>
      </c>
      <c r="F262" s="14"/>
      <c r="G262" s="14"/>
      <c r="H262" s="14"/>
      <c r="I262" s="14"/>
      <c r="J262" s="14"/>
      <c r="K262" s="162"/>
    </row>
    <row r="263" spans="1:32" x14ac:dyDescent="0.2">
      <c r="A263" s="198"/>
      <c r="B263" s="218"/>
      <c r="C263" s="176"/>
      <c r="D263" s="162"/>
      <c r="E263" s="137">
        <v>2020</v>
      </c>
      <c r="F263" s="14"/>
      <c r="G263" s="14"/>
      <c r="H263" s="14"/>
      <c r="I263" s="14"/>
      <c r="J263" s="14"/>
      <c r="K263" s="162"/>
    </row>
    <row r="264" spans="1:32" ht="13.5" thickBot="1" x14ac:dyDescent="0.25">
      <c r="A264" s="199"/>
      <c r="B264" s="218"/>
      <c r="C264" s="176"/>
      <c r="D264" s="162"/>
      <c r="E264" s="32" t="s">
        <v>18</v>
      </c>
      <c r="F264" s="28"/>
      <c r="G264" s="28"/>
      <c r="H264" s="28"/>
      <c r="I264" s="28"/>
      <c r="J264" s="28"/>
      <c r="K264" s="162"/>
    </row>
    <row r="265" spans="1:32" ht="15.75" thickBot="1" x14ac:dyDescent="0.25">
      <c r="A265" s="328" t="s">
        <v>244</v>
      </c>
      <c r="B265" s="329"/>
      <c r="C265" s="329"/>
      <c r="D265" s="329"/>
      <c r="E265" s="122"/>
      <c r="F265" s="120">
        <f>F249+F257</f>
        <v>3157648.5</v>
      </c>
      <c r="G265" s="120"/>
      <c r="H265" s="120">
        <f>H249+H257</f>
        <v>3157648.5</v>
      </c>
      <c r="I265" s="123"/>
      <c r="J265" s="123"/>
      <c r="K265" s="124"/>
    </row>
    <row r="266" spans="1:32" ht="16.5" customHeight="1" thickBot="1" x14ac:dyDescent="0.3">
      <c r="A266" s="333" t="s">
        <v>226</v>
      </c>
      <c r="B266" s="334"/>
      <c r="C266" s="334"/>
      <c r="D266" s="334"/>
      <c r="E266" s="334"/>
      <c r="F266" s="334"/>
      <c r="G266" s="334"/>
      <c r="H266" s="334"/>
      <c r="I266" s="334"/>
      <c r="J266" s="334"/>
      <c r="K266" s="334"/>
      <c r="L266" s="107"/>
      <c r="M266" s="107"/>
      <c r="N266" s="107"/>
      <c r="O266" s="107"/>
      <c r="P266" s="107"/>
      <c r="Q266" s="107"/>
      <c r="R266" s="107"/>
      <c r="S266" s="107"/>
      <c r="T266" s="107"/>
      <c r="U266" s="107"/>
      <c r="V266" s="107"/>
      <c r="W266" s="107"/>
      <c r="X266" s="107"/>
      <c r="Y266" s="107"/>
      <c r="Z266" s="107"/>
      <c r="AA266" s="107"/>
      <c r="AB266" s="107"/>
      <c r="AC266" s="107"/>
      <c r="AD266" s="107"/>
      <c r="AE266" s="107"/>
      <c r="AF266" s="108"/>
    </row>
    <row r="267" spans="1:32" ht="135" customHeight="1" thickBot="1" x14ac:dyDescent="0.25">
      <c r="A267" s="330" t="s">
        <v>82</v>
      </c>
      <c r="B267" s="331"/>
      <c r="C267" s="331"/>
      <c r="D267" s="331"/>
      <c r="E267" s="331"/>
      <c r="F267" s="331"/>
      <c r="G267" s="331"/>
      <c r="H267" s="331"/>
      <c r="I267" s="331"/>
      <c r="J267" s="331"/>
      <c r="K267" s="332"/>
    </row>
    <row r="268" spans="1:32" x14ac:dyDescent="0.2">
      <c r="A268" s="198" t="s">
        <v>46</v>
      </c>
      <c r="B268" s="324" t="s">
        <v>275</v>
      </c>
      <c r="C268" s="158" t="s">
        <v>75</v>
      </c>
      <c r="D268" s="161" t="s">
        <v>255</v>
      </c>
      <c r="E268" s="137">
        <v>2015</v>
      </c>
      <c r="F268" s="14">
        <f t="shared" ref="F268:F273" si="14">SUM(G268:H268)</f>
        <v>29177</v>
      </c>
      <c r="G268" s="14"/>
      <c r="H268" s="14">
        <f>25777+3400</f>
        <v>29177</v>
      </c>
      <c r="I268" s="14"/>
      <c r="J268" s="14"/>
      <c r="K268" s="161" t="s">
        <v>187</v>
      </c>
    </row>
    <row r="269" spans="1:32" x14ac:dyDescent="0.2">
      <c r="A269" s="198"/>
      <c r="B269" s="325"/>
      <c r="C269" s="176"/>
      <c r="D269" s="162"/>
      <c r="E269" s="137">
        <v>2016</v>
      </c>
      <c r="F269" s="14">
        <f t="shared" si="14"/>
        <v>31021</v>
      </c>
      <c r="G269" s="14"/>
      <c r="H269" s="14">
        <f>32323-1302</f>
        <v>31021</v>
      </c>
      <c r="I269" s="14"/>
      <c r="J269" s="14"/>
      <c r="K269" s="162"/>
      <c r="L269" s="125" t="s">
        <v>302</v>
      </c>
    </row>
    <row r="270" spans="1:32" x14ac:dyDescent="0.2">
      <c r="A270" s="198"/>
      <c r="B270" s="325"/>
      <c r="C270" s="176"/>
      <c r="D270" s="162"/>
      <c r="E270" s="137">
        <v>2017</v>
      </c>
      <c r="F270" s="14">
        <f t="shared" si="14"/>
        <v>30943.1</v>
      </c>
      <c r="G270" s="14"/>
      <c r="H270" s="14">
        <v>30943.1</v>
      </c>
      <c r="I270" s="14"/>
      <c r="J270" s="14"/>
      <c r="K270" s="162"/>
      <c r="L270" s="125" t="s">
        <v>299</v>
      </c>
    </row>
    <row r="271" spans="1:32" x14ac:dyDescent="0.2">
      <c r="A271" s="198"/>
      <c r="B271" s="325"/>
      <c r="C271" s="176"/>
      <c r="D271" s="162"/>
      <c r="E271" s="137">
        <v>2018</v>
      </c>
      <c r="F271" s="14">
        <f t="shared" si="14"/>
        <v>28738.799999999999</v>
      </c>
      <c r="G271" s="14"/>
      <c r="H271" s="14">
        <f>34091.5-5352.7</f>
        <v>28738.799999999999</v>
      </c>
      <c r="I271" s="14"/>
      <c r="J271" s="14"/>
      <c r="K271" s="162"/>
      <c r="L271" s="4" t="s">
        <v>309</v>
      </c>
      <c r="N271" s="132"/>
    </row>
    <row r="272" spans="1:32" x14ac:dyDescent="0.2">
      <c r="A272" s="198"/>
      <c r="B272" s="325"/>
      <c r="C272" s="176"/>
      <c r="D272" s="162"/>
      <c r="E272" s="137">
        <v>2019</v>
      </c>
      <c r="F272" s="14">
        <f t="shared" si="14"/>
        <v>28037.800000000003</v>
      </c>
      <c r="G272" s="14"/>
      <c r="H272" s="14">
        <f>35866.4-7828.6</f>
        <v>28037.800000000003</v>
      </c>
      <c r="I272" s="14"/>
      <c r="J272" s="14"/>
      <c r="K272" s="162"/>
      <c r="L272" s="4" t="s">
        <v>309</v>
      </c>
      <c r="N272" s="132"/>
    </row>
    <row r="273" spans="1:14" x14ac:dyDescent="0.2">
      <c r="A273" s="198"/>
      <c r="B273" s="325"/>
      <c r="C273" s="176"/>
      <c r="D273" s="162"/>
      <c r="E273" s="137">
        <v>2020</v>
      </c>
      <c r="F273" s="14">
        <f t="shared" si="14"/>
        <v>37976</v>
      </c>
      <c r="G273" s="14"/>
      <c r="H273" s="14">
        <v>37976</v>
      </c>
      <c r="I273" s="14"/>
      <c r="J273" s="14"/>
      <c r="K273" s="162"/>
      <c r="N273" s="34"/>
    </row>
    <row r="274" spans="1:14" ht="42.75" customHeight="1" x14ac:dyDescent="0.2">
      <c r="A274" s="199"/>
      <c r="B274" s="325"/>
      <c r="C274" s="213"/>
      <c r="D274" s="162"/>
      <c r="E274" s="24" t="s">
        <v>18</v>
      </c>
      <c r="F274" s="13">
        <f>SUM(F268:F273)</f>
        <v>185893.7</v>
      </c>
      <c r="G274" s="13"/>
      <c r="H274" s="13">
        <f>SUM(H268:H273)</f>
        <v>185893.7</v>
      </c>
      <c r="I274" s="13"/>
      <c r="J274" s="13"/>
      <c r="K274" s="165"/>
    </row>
    <row r="275" spans="1:14" x14ac:dyDescent="0.2">
      <c r="A275" s="256" t="s">
        <v>83</v>
      </c>
      <c r="B275" s="224" t="s">
        <v>166</v>
      </c>
      <c r="C275" s="158" t="s">
        <v>84</v>
      </c>
      <c r="D275" s="161" t="s">
        <v>255</v>
      </c>
      <c r="E275" s="137">
        <v>2015</v>
      </c>
      <c r="F275" s="14">
        <f t="shared" ref="F275:F280" si="15">SUM(G275:I275)</f>
        <v>470.20000000000005</v>
      </c>
      <c r="G275" s="14"/>
      <c r="H275" s="14">
        <f>416.1+54.1</f>
        <v>470.20000000000005</v>
      </c>
      <c r="I275" s="14"/>
      <c r="J275" s="14"/>
      <c r="K275" s="419" t="s">
        <v>187</v>
      </c>
    </row>
    <row r="276" spans="1:14" x14ac:dyDescent="0.2">
      <c r="A276" s="256"/>
      <c r="B276" s="225"/>
      <c r="C276" s="159"/>
      <c r="D276" s="162"/>
      <c r="E276" s="137">
        <v>2016</v>
      </c>
      <c r="F276" s="14">
        <f t="shared" si="15"/>
        <v>305.39999999999998</v>
      </c>
      <c r="G276" s="14"/>
      <c r="H276" s="14">
        <f>261.2+44.2</f>
        <v>305.39999999999998</v>
      </c>
      <c r="I276" s="14"/>
      <c r="J276" s="14"/>
      <c r="K276" s="420"/>
    </row>
    <row r="277" spans="1:14" x14ac:dyDescent="0.2">
      <c r="A277" s="256"/>
      <c r="B277" s="225"/>
      <c r="C277" s="159"/>
      <c r="D277" s="162"/>
      <c r="E277" s="137">
        <v>2017</v>
      </c>
      <c r="F277" s="14">
        <f t="shared" si="15"/>
        <v>454</v>
      </c>
      <c r="G277" s="14"/>
      <c r="H277" s="14">
        <v>454</v>
      </c>
      <c r="I277" s="14"/>
      <c r="J277" s="14"/>
      <c r="K277" s="420"/>
      <c r="L277" s="125" t="s">
        <v>299</v>
      </c>
    </row>
    <row r="278" spans="1:14" x14ac:dyDescent="0.2">
      <c r="A278" s="256"/>
      <c r="B278" s="225"/>
      <c r="C278" s="159"/>
      <c r="D278" s="162"/>
      <c r="E278" s="137">
        <v>2018</v>
      </c>
      <c r="F278" s="14">
        <f t="shared" si="15"/>
        <v>454</v>
      </c>
      <c r="G278" s="14"/>
      <c r="H278" s="14">
        <f>1290-836</f>
        <v>454</v>
      </c>
      <c r="I278" s="14"/>
      <c r="J278" s="14"/>
      <c r="K278" s="420"/>
      <c r="L278" s="4" t="s">
        <v>309</v>
      </c>
      <c r="N278" s="132"/>
    </row>
    <row r="279" spans="1:14" x14ac:dyDescent="0.2">
      <c r="A279" s="256"/>
      <c r="B279" s="225"/>
      <c r="C279" s="159"/>
      <c r="D279" s="162"/>
      <c r="E279" s="137">
        <v>2019</v>
      </c>
      <c r="F279" s="14">
        <f t="shared" ref="F279" si="16">SUM(G279:I279)</f>
        <v>454</v>
      </c>
      <c r="G279" s="14"/>
      <c r="H279" s="14">
        <f>1350-896</f>
        <v>454</v>
      </c>
      <c r="I279" s="14"/>
      <c r="J279" s="14"/>
      <c r="K279" s="420"/>
      <c r="L279" s="4" t="s">
        <v>309</v>
      </c>
      <c r="N279" s="132"/>
    </row>
    <row r="280" spans="1:14" x14ac:dyDescent="0.2">
      <c r="A280" s="256"/>
      <c r="B280" s="225"/>
      <c r="C280" s="159"/>
      <c r="D280" s="162"/>
      <c r="E280" s="137">
        <v>2020</v>
      </c>
      <c r="F280" s="14">
        <f t="shared" si="15"/>
        <v>1420</v>
      </c>
      <c r="G280" s="14"/>
      <c r="H280" s="14">
        <v>1420</v>
      </c>
      <c r="I280" s="14"/>
      <c r="J280" s="14"/>
      <c r="K280" s="420"/>
    </row>
    <row r="281" spans="1:14" x14ac:dyDescent="0.2">
      <c r="A281" s="256"/>
      <c r="B281" s="245"/>
      <c r="C281" s="187"/>
      <c r="D281" s="162"/>
      <c r="E281" s="24" t="s">
        <v>18</v>
      </c>
      <c r="F281" s="13">
        <f>SUM(F275:F280)</f>
        <v>3557.6</v>
      </c>
      <c r="G281" s="13"/>
      <c r="H281" s="13">
        <f>SUM(H275:H280)</f>
        <v>3557.6</v>
      </c>
      <c r="I281" s="14"/>
      <c r="J281" s="14"/>
      <c r="K281" s="421"/>
    </row>
    <row r="282" spans="1:14" x14ac:dyDescent="0.2">
      <c r="A282" s="197" t="s">
        <v>85</v>
      </c>
      <c r="B282" s="224" t="s">
        <v>164</v>
      </c>
      <c r="C282" s="158" t="s">
        <v>84</v>
      </c>
      <c r="D282" s="161" t="s">
        <v>255</v>
      </c>
      <c r="E282" s="137">
        <v>2015</v>
      </c>
      <c r="F282" s="14">
        <f t="shared" ref="F282:F287" si="17">SUM(G282:J282)</f>
        <v>5042</v>
      </c>
      <c r="G282" s="14"/>
      <c r="H282" s="14">
        <v>4991.6000000000004</v>
      </c>
      <c r="I282" s="14">
        <v>50.4</v>
      </c>
      <c r="J282" s="14"/>
      <c r="K282" s="161" t="s">
        <v>187</v>
      </c>
    </row>
    <row r="283" spans="1:14" x14ac:dyDescent="0.2">
      <c r="A283" s="198"/>
      <c r="B283" s="225"/>
      <c r="C283" s="159"/>
      <c r="D283" s="162"/>
      <c r="E283" s="137">
        <v>2016</v>
      </c>
      <c r="F283" s="14">
        <f t="shared" si="17"/>
        <v>0</v>
      </c>
      <c r="G283" s="14"/>
      <c r="H283" s="14"/>
      <c r="I283" s="14">
        <v>0</v>
      </c>
      <c r="J283" s="14"/>
      <c r="K283" s="162"/>
    </row>
    <row r="284" spans="1:14" x14ac:dyDescent="0.2">
      <c r="A284" s="198"/>
      <c r="B284" s="225"/>
      <c r="C284" s="159"/>
      <c r="D284" s="162"/>
      <c r="E284" s="137">
        <v>2017</v>
      </c>
      <c r="F284" s="14">
        <f t="shared" si="17"/>
        <v>0</v>
      </c>
      <c r="G284" s="14"/>
      <c r="H284" s="14">
        <f>5450.9-5450.9</f>
        <v>0</v>
      </c>
      <c r="I284" s="14">
        <f>55.1-55.1</f>
        <v>0</v>
      </c>
      <c r="J284" s="14"/>
      <c r="K284" s="162"/>
      <c r="L284" s="125" t="s">
        <v>307</v>
      </c>
    </row>
    <row r="285" spans="1:14" x14ac:dyDescent="0.2">
      <c r="A285" s="198"/>
      <c r="B285" s="225"/>
      <c r="C285" s="159"/>
      <c r="D285" s="162"/>
      <c r="E285" s="137">
        <v>2018</v>
      </c>
      <c r="F285" s="14">
        <f t="shared" si="17"/>
        <v>0</v>
      </c>
      <c r="G285" s="14"/>
      <c r="H285" s="14"/>
      <c r="I285" s="14"/>
      <c r="J285" s="14"/>
      <c r="K285" s="162"/>
    </row>
    <row r="286" spans="1:14" x14ac:dyDescent="0.2">
      <c r="A286" s="198"/>
      <c r="B286" s="225"/>
      <c r="C286" s="159"/>
      <c r="D286" s="162"/>
      <c r="E286" s="137">
        <v>2019</v>
      </c>
      <c r="F286" s="14">
        <f t="shared" si="17"/>
        <v>0</v>
      </c>
      <c r="G286" s="14"/>
      <c r="H286" s="14"/>
      <c r="I286" s="14"/>
      <c r="J286" s="14"/>
      <c r="K286" s="162"/>
    </row>
    <row r="287" spans="1:14" x14ac:dyDescent="0.2">
      <c r="A287" s="198"/>
      <c r="B287" s="225"/>
      <c r="C287" s="159"/>
      <c r="D287" s="162"/>
      <c r="E287" s="137">
        <v>2020</v>
      </c>
      <c r="F287" s="14">
        <f t="shared" si="17"/>
        <v>0</v>
      </c>
      <c r="G287" s="14"/>
      <c r="H287" s="14"/>
      <c r="I287" s="14"/>
      <c r="J287" s="14"/>
      <c r="K287" s="162"/>
    </row>
    <row r="288" spans="1:14" ht="45" customHeight="1" x14ac:dyDescent="0.2">
      <c r="A288" s="199"/>
      <c r="B288" s="225"/>
      <c r="C288" s="187"/>
      <c r="D288" s="162"/>
      <c r="E288" s="24" t="s">
        <v>18</v>
      </c>
      <c r="F288" s="51">
        <f>SUM(F282:F287)</f>
        <v>5042</v>
      </c>
      <c r="G288" s="51"/>
      <c r="H288" s="51">
        <f>SUM(H282:H287)</f>
        <v>4991.6000000000004</v>
      </c>
      <c r="I288" s="51">
        <f>SUM(I282:I287)</f>
        <v>50.4</v>
      </c>
      <c r="J288" s="51"/>
      <c r="K288" s="165"/>
    </row>
    <row r="289" spans="1:32" ht="12.75" customHeight="1" x14ac:dyDescent="0.2">
      <c r="A289" s="197" t="s">
        <v>167</v>
      </c>
      <c r="B289" s="175" t="s">
        <v>76</v>
      </c>
      <c r="C289" s="158" t="s">
        <v>84</v>
      </c>
      <c r="D289" s="161" t="s">
        <v>255</v>
      </c>
      <c r="E289" s="137">
        <v>2015</v>
      </c>
      <c r="F289" s="14">
        <f t="shared" ref="F289:F294" si="18">SUM(G289:J289)</f>
        <v>0</v>
      </c>
      <c r="G289" s="14"/>
      <c r="H289" s="14"/>
      <c r="I289" s="14"/>
      <c r="J289" s="14"/>
      <c r="K289" s="161" t="s">
        <v>188</v>
      </c>
    </row>
    <row r="290" spans="1:32" ht="12.75" customHeight="1" x14ac:dyDescent="0.2">
      <c r="A290" s="198"/>
      <c r="B290" s="193"/>
      <c r="C290" s="159"/>
      <c r="D290" s="162"/>
      <c r="E290" s="137">
        <v>2016</v>
      </c>
      <c r="F290" s="14">
        <f t="shared" si="18"/>
        <v>2152.1</v>
      </c>
      <c r="G290" s="14"/>
      <c r="H290" s="14"/>
      <c r="I290" s="14">
        <f>2194.1-42</f>
        <v>2152.1</v>
      </c>
      <c r="J290" s="14"/>
      <c r="K290" s="162"/>
      <c r="L290" s="125" t="s">
        <v>300</v>
      </c>
    </row>
    <row r="291" spans="1:32" ht="12.75" customHeight="1" x14ac:dyDescent="0.2">
      <c r="A291" s="198"/>
      <c r="B291" s="193"/>
      <c r="C291" s="159"/>
      <c r="D291" s="162"/>
      <c r="E291" s="137">
        <v>2017</v>
      </c>
      <c r="F291" s="14">
        <f t="shared" si="18"/>
        <v>1996.4</v>
      </c>
      <c r="G291" s="14"/>
      <c r="H291" s="14"/>
      <c r="I291" s="14">
        <v>1996.4</v>
      </c>
      <c r="J291" s="14"/>
      <c r="K291" s="162"/>
      <c r="L291" s="125" t="s">
        <v>291</v>
      </c>
    </row>
    <row r="292" spans="1:32" ht="12.75" customHeight="1" x14ac:dyDescent="0.2">
      <c r="A292" s="198"/>
      <c r="B292" s="193"/>
      <c r="C292" s="159"/>
      <c r="D292" s="162"/>
      <c r="E292" s="137">
        <v>2018</v>
      </c>
      <c r="F292" s="14">
        <f t="shared" si="18"/>
        <v>2201.1</v>
      </c>
      <c r="G292" s="14"/>
      <c r="H292" s="14"/>
      <c r="I292" s="14">
        <v>2201.1</v>
      </c>
      <c r="J292" s="14"/>
      <c r="K292" s="162"/>
      <c r="L292" s="4" t="s">
        <v>291</v>
      </c>
    </row>
    <row r="293" spans="1:32" ht="12.75" customHeight="1" x14ac:dyDescent="0.2">
      <c r="A293" s="198"/>
      <c r="B293" s="193"/>
      <c r="C293" s="159"/>
      <c r="D293" s="162"/>
      <c r="E293" s="137">
        <v>2019</v>
      </c>
      <c r="F293" s="14">
        <f t="shared" si="18"/>
        <v>1389.9</v>
      </c>
      <c r="G293" s="14"/>
      <c r="H293" s="14"/>
      <c r="I293" s="14">
        <v>1389.9</v>
      </c>
      <c r="J293" s="14"/>
      <c r="K293" s="162"/>
      <c r="L293" s="4" t="s">
        <v>291</v>
      </c>
    </row>
    <row r="294" spans="1:32" ht="12.75" customHeight="1" x14ac:dyDescent="0.2">
      <c r="A294" s="198"/>
      <c r="B294" s="193"/>
      <c r="C294" s="159"/>
      <c r="D294" s="162"/>
      <c r="E294" s="137">
        <v>2020</v>
      </c>
      <c r="F294" s="14">
        <f t="shared" si="18"/>
        <v>0</v>
      </c>
      <c r="G294" s="14"/>
      <c r="H294" s="14"/>
      <c r="I294" s="14"/>
      <c r="J294" s="14"/>
      <c r="K294" s="162"/>
    </row>
    <row r="295" spans="1:32" ht="18" customHeight="1" x14ac:dyDescent="0.2">
      <c r="A295" s="199"/>
      <c r="B295" s="200"/>
      <c r="C295" s="187"/>
      <c r="D295" s="162"/>
      <c r="E295" s="24" t="s">
        <v>18</v>
      </c>
      <c r="F295" s="51">
        <f>SUM(F289:F294)</f>
        <v>7739.5</v>
      </c>
      <c r="G295" s="51"/>
      <c r="H295" s="51">
        <f>SUM(H289:H294)</f>
        <v>0</v>
      </c>
      <c r="I295" s="51">
        <f>SUM(I289:I294)</f>
        <v>7739.5</v>
      </c>
      <c r="J295" s="51"/>
      <c r="K295" s="165"/>
    </row>
    <row r="296" spans="1:32" ht="13.5" customHeight="1" x14ac:dyDescent="0.2">
      <c r="A296" s="326" t="s">
        <v>288</v>
      </c>
      <c r="B296" s="214" t="s">
        <v>290</v>
      </c>
      <c r="C296" s="158" t="s">
        <v>254</v>
      </c>
      <c r="D296" s="161" t="s">
        <v>255</v>
      </c>
      <c r="E296" s="137">
        <v>2016</v>
      </c>
      <c r="F296" s="28">
        <f>G296+H296+I296</f>
        <v>42</v>
      </c>
      <c r="G296" s="51"/>
      <c r="H296" s="51"/>
      <c r="I296" s="28">
        <v>42</v>
      </c>
      <c r="J296" s="28"/>
      <c r="K296" s="161" t="s">
        <v>174</v>
      </c>
      <c r="L296" s="125" t="s">
        <v>289</v>
      </c>
    </row>
    <row r="297" spans="1:32" ht="13.5" customHeight="1" x14ac:dyDescent="0.2">
      <c r="A297" s="327"/>
      <c r="B297" s="215"/>
      <c r="C297" s="176"/>
      <c r="D297" s="162"/>
      <c r="E297" s="137">
        <v>2017</v>
      </c>
      <c r="F297" s="28">
        <f t="shared" ref="F297:F300" si="19">G297+H297+I297</f>
        <v>693.9</v>
      </c>
      <c r="G297" s="51"/>
      <c r="H297" s="51"/>
      <c r="I297" s="28">
        <v>693.9</v>
      </c>
      <c r="J297" s="28"/>
      <c r="K297" s="162"/>
      <c r="L297" s="125" t="s">
        <v>291</v>
      </c>
    </row>
    <row r="298" spans="1:32" ht="13.5" customHeight="1" x14ac:dyDescent="0.2">
      <c r="A298" s="327"/>
      <c r="B298" s="215"/>
      <c r="C298" s="176"/>
      <c r="D298" s="162"/>
      <c r="E298" s="137">
        <v>2018</v>
      </c>
      <c r="F298" s="28">
        <f t="shared" si="19"/>
        <v>500</v>
      </c>
      <c r="G298" s="51"/>
      <c r="H298" s="51"/>
      <c r="I298" s="28">
        <v>500</v>
      </c>
      <c r="J298" s="28"/>
      <c r="K298" s="162"/>
      <c r="L298" s="125" t="s">
        <v>291</v>
      </c>
    </row>
    <row r="299" spans="1:32" ht="13.5" customHeight="1" x14ac:dyDescent="0.2">
      <c r="A299" s="327"/>
      <c r="B299" s="215"/>
      <c r="C299" s="176"/>
      <c r="D299" s="162"/>
      <c r="E299" s="137">
        <v>2019</v>
      </c>
      <c r="F299" s="28">
        <f t="shared" si="19"/>
        <v>0</v>
      </c>
      <c r="G299" s="51"/>
      <c r="H299" s="51"/>
      <c r="I299" s="51">
        <v>0</v>
      </c>
      <c r="J299" s="28"/>
      <c r="K299" s="162"/>
      <c r="L299" s="125" t="s">
        <v>314</v>
      </c>
    </row>
    <row r="300" spans="1:32" ht="12.75" customHeight="1" x14ac:dyDescent="0.2">
      <c r="A300" s="327"/>
      <c r="B300" s="215"/>
      <c r="C300" s="176"/>
      <c r="D300" s="162"/>
      <c r="E300" s="137">
        <v>2020</v>
      </c>
      <c r="F300" s="28">
        <f t="shared" si="19"/>
        <v>0</v>
      </c>
      <c r="G300" s="51"/>
      <c r="H300" s="51"/>
      <c r="I300" s="51"/>
      <c r="J300" s="28"/>
      <c r="K300" s="162"/>
    </row>
    <row r="301" spans="1:32" ht="18" customHeight="1" thickBot="1" x14ac:dyDescent="0.25">
      <c r="A301" s="327"/>
      <c r="B301" s="174"/>
      <c r="C301" s="176"/>
      <c r="D301" s="162"/>
      <c r="E301" s="32" t="s">
        <v>18</v>
      </c>
      <c r="F301" s="51">
        <f>SUM(F296:F300)</f>
        <v>1235.9000000000001</v>
      </c>
      <c r="G301" s="51"/>
      <c r="H301" s="51">
        <v>0</v>
      </c>
      <c r="I301" s="51">
        <f>SUM(I296:I300)</f>
        <v>1235.9000000000001</v>
      </c>
      <c r="J301" s="28"/>
      <c r="K301" s="162"/>
    </row>
    <row r="302" spans="1:32" ht="15.75" thickBot="1" x14ac:dyDescent="0.3">
      <c r="A302" s="166" t="s">
        <v>222</v>
      </c>
      <c r="B302" s="167"/>
      <c r="C302" s="167"/>
      <c r="D302" s="167"/>
      <c r="E302" s="56"/>
      <c r="F302" s="120">
        <f>F288+F281+F274+F295+F301</f>
        <v>203468.7</v>
      </c>
      <c r="G302" s="120">
        <f>G288+G281+G274+G295+G301</f>
        <v>0</v>
      </c>
      <c r="H302" s="119">
        <f>H288+H281+H274+H295+H301</f>
        <v>194442.90000000002</v>
      </c>
      <c r="I302" s="119">
        <f>I288+I281+I274+I295+I301</f>
        <v>9025.7999999999993</v>
      </c>
      <c r="J302" s="128"/>
      <c r="K302" s="129"/>
    </row>
    <row r="303" spans="1:32" ht="16.5" thickBot="1" x14ac:dyDescent="0.3">
      <c r="A303" s="151" t="s">
        <v>227</v>
      </c>
      <c r="B303" s="152"/>
      <c r="C303" s="152"/>
      <c r="D303" s="152"/>
      <c r="E303" s="152"/>
      <c r="F303" s="126"/>
      <c r="G303" s="126"/>
      <c r="H303" s="126"/>
      <c r="I303" s="127"/>
      <c r="J303" s="127"/>
      <c r="K303" s="127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9"/>
      <c r="AC303" s="59"/>
      <c r="AD303" s="59"/>
      <c r="AE303" s="59"/>
      <c r="AF303" s="60"/>
    </row>
    <row r="304" spans="1:32" x14ac:dyDescent="0.2">
      <c r="A304" s="153" t="s">
        <v>152</v>
      </c>
      <c r="B304" s="156" t="s">
        <v>153</v>
      </c>
      <c r="C304" s="158" t="s">
        <v>84</v>
      </c>
      <c r="D304" s="161" t="s">
        <v>255</v>
      </c>
      <c r="E304" s="137">
        <v>2015</v>
      </c>
      <c r="F304" s="14">
        <f t="shared" ref="F304:F309" si="20">SUM(G304:I304)</f>
        <v>175</v>
      </c>
      <c r="G304" s="14"/>
      <c r="H304" s="14"/>
      <c r="I304" s="14">
        <v>175</v>
      </c>
      <c r="J304" s="14"/>
      <c r="K304" s="161" t="s">
        <v>189</v>
      </c>
    </row>
    <row r="305" spans="1:32" x14ac:dyDescent="0.2">
      <c r="A305" s="154"/>
      <c r="B305" s="157"/>
      <c r="C305" s="159"/>
      <c r="D305" s="162"/>
      <c r="E305" s="137">
        <v>2016</v>
      </c>
      <c r="F305" s="14">
        <f t="shared" si="20"/>
        <v>195</v>
      </c>
      <c r="G305" s="14"/>
      <c r="H305" s="14"/>
      <c r="I305" s="14">
        <f>185+10</f>
        <v>195</v>
      </c>
      <c r="J305" s="14"/>
      <c r="K305" s="162"/>
    </row>
    <row r="306" spans="1:32" x14ac:dyDescent="0.2">
      <c r="A306" s="154"/>
      <c r="B306" s="157"/>
      <c r="C306" s="159"/>
      <c r="D306" s="162"/>
      <c r="E306" s="137">
        <v>2017</v>
      </c>
      <c r="F306" s="14">
        <f t="shared" si="20"/>
        <v>151.5</v>
      </c>
      <c r="G306" s="14"/>
      <c r="H306" s="14"/>
      <c r="I306" s="14">
        <f>195-43.5</f>
        <v>151.5</v>
      </c>
      <c r="J306" s="14"/>
      <c r="K306" s="162"/>
      <c r="L306" s="125" t="s">
        <v>292</v>
      </c>
    </row>
    <row r="307" spans="1:32" x14ac:dyDescent="0.2">
      <c r="A307" s="154"/>
      <c r="B307" s="157"/>
      <c r="C307" s="159"/>
      <c r="D307" s="162"/>
      <c r="E307" s="137">
        <v>2018</v>
      </c>
      <c r="F307" s="14">
        <f t="shared" si="20"/>
        <v>205</v>
      </c>
      <c r="G307" s="14"/>
      <c r="H307" s="14"/>
      <c r="I307" s="14">
        <v>205</v>
      </c>
      <c r="J307" s="14"/>
      <c r="K307" s="162"/>
      <c r="L307" s="125" t="s">
        <v>310</v>
      </c>
    </row>
    <row r="308" spans="1:32" x14ac:dyDescent="0.2">
      <c r="A308" s="154"/>
      <c r="B308" s="157"/>
      <c r="C308" s="159"/>
      <c r="D308" s="162"/>
      <c r="E308" s="137">
        <v>2019</v>
      </c>
      <c r="F308" s="14">
        <f t="shared" si="20"/>
        <v>215</v>
      </c>
      <c r="G308" s="14"/>
      <c r="H308" s="14"/>
      <c r="I308" s="14">
        <v>215</v>
      </c>
      <c r="J308" s="14"/>
      <c r="K308" s="162"/>
      <c r="L308" s="125" t="s">
        <v>310</v>
      </c>
    </row>
    <row r="309" spans="1:32" x14ac:dyDescent="0.2">
      <c r="A309" s="154"/>
      <c r="B309" s="157"/>
      <c r="C309" s="159"/>
      <c r="D309" s="162"/>
      <c r="E309" s="137">
        <v>2020</v>
      </c>
      <c r="F309" s="14">
        <f t="shared" si="20"/>
        <v>230</v>
      </c>
      <c r="G309" s="14"/>
      <c r="H309" s="14"/>
      <c r="I309" s="14">
        <v>230</v>
      </c>
      <c r="J309" s="14"/>
      <c r="K309" s="162"/>
    </row>
    <row r="310" spans="1:32" ht="58.5" customHeight="1" thickBot="1" x14ac:dyDescent="0.25">
      <c r="A310" s="155"/>
      <c r="B310" s="157"/>
      <c r="C310" s="160"/>
      <c r="D310" s="162"/>
      <c r="E310" s="32" t="s">
        <v>18</v>
      </c>
      <c r="F310" s="51">
        <f>SUM(F304:F309)</f>
        <v>1171.5</v>
      </c>
      <c r="G310" s="51"/>
      <c r="H310" s="51"/>
      <c r="I310" s="51">
        <f>SUM(I304:I309)</f>
        <v>1171.5</v>
      </c>
      <c r="J310" s="28"/>
      <c r="K310" s="165"/>
    </row>
    <row r="311" spans="1:32" ht="15.75" thickBot="1" x14ac:dyDescent="0.3">
      <c r="A311" s="166" t="s">
        <v>234</v>
      </c>
      <c r="B311" s="167"/>
      <c r="C311" s="167"/>
      <c r="D311" s="167"/>
      <c r="E311" s="61"/>
      <c r="F311" s="20">
        <f>SUM(F310)</f>
        <v>1171.5</v>
      </c>
      <c r="G311" s="18">
        <f>SUM(G310)</f>
        <v>0</v>
      </c>
      <c r="H311" s="18">
        <f>SUM(H310)</f>
        <v>0</v>
      </c>
      <c r="I311" s="20">
        <f>SUM(I310)</f>
        <v>1171.5</v>
      </c>
      <c r="J311" s="57"/>
      <c r="K311" s="58"/>
    </row>
    <row r="312" spans="1:32" ht="16.5" thickBot="1" x14ac:dyDescent="0.25">
      <c r="A312" s="168" t="s">
        <v>228</v>
      </c>
      <c r="B312" s="169"/>
      <c r="C312" s="169"/>
      <c r="D312" s="169"/>
      <c r="E312" s="169"/>
      <c r="F312" s="169"/>
      <c r="G312" s="169"/>
      <c r="H312" s="169"/>
      <c r="I312" s="169"/>
      <c r="J312" s="169"/>
      <c r="K312" s="170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3"/>
    </row>
    <row r="313" spans="1:32" x14ac:dyDescent="0.2">
      <c r="A313" s="171" t="s">
        <v>190</v>
      </c>
      <c r="B313" s="174" t="s">
        <v>276</v>
      </c>
      <c r="C313" s="176" t="s">
        <v>84</v>
      </c>
      <c r="D313" s="162" t="s">
        <v>255</v>
      </c>
      <c r="E313" s="141">
        <v>2015</v>
      </c>
      <c r="F313" s="12">
        <f t="shared" ref="F313:F318" si="21">SUM(G313:I313)</f>
        <v>275</v>
      </c>
      <c r="G313" s="12"/>
      <c r="H313" s="12"/>
      <c r="I313" s="12">
        <v>275</v>
      </c>
      <c r="J313" s="12"/>
      <c r="K313" s="162" t="s">
        <v>191</v>
      </c>
    </row>
    <row r="314" spans="1:32" x14ac:dyDescent="0.2">
      <c r="A314" s="172"/>
      <c r="B314" s="175"/>
      <c r="C314" s="159"/>
      <c r="D314" s="162"/>
      <c r="E314" s="137">
        <v>2016</v>
      </c>
      <c r="F314" s="14">
        <f t="shared" si="21"/>
        <v>294.7</v>
      </c>
      <c r="G314" s="14"/>
      <c r="H314" s="14"/>
      <c r="I314" s="14">
        <f>295-0.3</f>
        <v>294.7</v>
      </c>
      <c r="J314" s="14"/>
      <c r="K314" s="162"/>
    </row>
    <row r="315" spans="1:32" x14ac:dyDescent="0.2">
      <c r="A315" s="172"/>
      <c r="B315" s="175"/>
      <c r="C315" s="159"/>
      <c r="D315" s="162"/>
      <c r="E315" s="137">
        <v>2017</v>
      </c>
      <c r="F315" s="14">
        <f t="shared" si="21"/>
        <v>240.5</v>
      </c>
      <c r="G315" s="14"/>
      <c r="H315" s="14"/>
      <c r="I315" s="14">
        <f>315-74.5</f>
        <v>240.5</v>
      </c>
      <c r="J315" s="14"/>
      <c r="K315" s="162"/>
      <c r="L315" s="125" t="s">
        <v>292</v>
      </c>
    </row>
    <row r="316" spans="1:32" x14ac:dyDescent="0.2">
      <c r="A316" s="172"/>
      <c r="B316" s="175"/>
      <c r="C316" s="159"/>
      <c r="D316" s="162"/>
      <c r="E316" s="137">
        <v>2018</v>
      </c>
      <c r="F316" s="14">
        <f t="shared" si="21"/>
        <v>60</v>
      </c>
      <c r="G316" s="14"/>
      <c r="H316" s="14"/>
      <c r="I316" s="14">
        <v>60</v>
      </c>
      <c r="J316" s="14"/>
      <c r="K316" s="162"/>
      <c r="L316" s="125" t="s">
        <v>310</v>
      </c>
    </row>
    <row r="317" spans="1:32" x14ac:dyDescent="0.2">
      <c r="A317" s="172"/>
      <c r="B317" s="175"/>
      <c r="C317" s="159"/>
      <c r="D317" s="162"/>
      <c r="E317" s="137">
        <v>2019</v>
      </c>
      <c r="F317" s="14">
        <f t="shared" si="21"/>
        <v>60</v>
      </c>
      <c r="G317" s="14"/>
      <c r="H317" s="14"/>
      <c r="I317" s="14">
        <v>60</v>
      </c>
      <c r="J317" s="14"/>
      <c r="K317" s="162"/>
      <c r="L317" s="125" t="s">
        <v>310</v>
      </c>
    </row>
    <row r="318" spans="1:32" x14ac:dyDescent="0.2">
      <c r="A318" s="172"/>
      <c r="B318" s="175"/>
      <c r="C318" s="159"/>
      <c r="D318" s="162"/>
      <c r="E318" s="137">
        <v>2020</v>
      </c>
      <c r="F318" s="14">
        <f t="shared" si="21"/>
        <v>60</v>
      </c>
      <c r="G318" s="14"/>
      <c r="H318" s="14"/>
      <c r="I318" s="14">
        <v>60</v>
      </c>
      <c r="J318" s="14"/>
      <c r="K318" s="162"/>
    </row>
    <row r="319" spans="1:32" ht="59.25" customHeight="1" thickBot="1" x14ac:dyDescent="0.25">
      <c r="A319" s="173"/>
      <c r="B319" s="175"/>
      <c r="C319" s="160"/>
      <c r="D319" s="162"/>
      <c r="E319" s="24" t="s">
        <v>18</v>
      </c>
      <c r="F319" s="13">
        <f>SUM(F313:F318)</f>
        <v>990.2</v>
      </c>
      <c r="G319" s="13"/>
      <c r="H319" s="13">
        <f>SUM(H313:H318)</f>
        <v>0</v>
      </c>
      <c r="I319" s="13">
        <f>SUM(I313:I318)</f>
        <v>990.2</v>
      </c>
      <c r="J319" s="14"/>
      <c r="K319" s="177"/>
    </row>
    <row r="320" spans="1:32" ht="15.75" thickBot="1" x14ac:dyDescent="0.3">
      <c r="A320" s="166" t="s">
        <v>236</v>
      </c>
      <c r="B320" s="167"/>
      <c r="C320" s="167"/>
      <c r="D320" s="167"/>
      <c r="E320" s="61"/>
      <c r="F320" s="20">
        <f>SUM(F319)</f>
        <v>990.2</v>
      </c>
      <c r="G320" s="18">
        <f>SUM(G319)</f>
        <v>0</v>
      </c>
      <c r="H320" s="18">
        <f>SUM(H319)</f>
        <v>0</v>
      </c>
      <c r="I320" s="20">
        <f>SUM(I319)</f>
        <v>990.2</v>
      </c>
      <c r="J320" s="57"/>
      <c r="K320" s="58"/>
    </row>
    <row r="321" spans="1:35" ht="16.5" thickBot="1" x14ac:dyDescent="0.25">
      <c r="A321" s="168" t="s">
        <v>229</v>
      </c>
      <c r="B321" s="169"/>
      <c r="C321" s="169"/>
      <c r="D321" s="169"/>
      <c r="E321" s="169"/>
      <c r="F321" s="169"/>
      <c r="G321" s="169"/>
      <c r="H321" s="169"/>
      <c r="I321" s="169"/>
      <c r="J321" s="169"/>
      <c r="K321" s="170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2"/>
      <c r="AF321" s="63"/>
    </row>
    <row r="322" spans="1:35" x14ac:dyDescent="0.2">
      <c r="A322" s="417" t="s">
        <v>192</v>
      </c>
      <c r="B322" s="178" t="s">
        <v>277</v>
      </c>
      <c r="C322" s="176" t="s">
        <v>84</v>
      </c>
      <c r="D322" s="162" t="s">
        <v>255</v>
      </c>
      <c r="E322" s="141">
        <v>2015</v>
      </c>
      <c r="F322" s="12">
        <f t="shared" ref="F322:F327" si="22">SUM(G322:J322)</f>
        <v>1715</v>
      </c>
      <c r="G322" s="12"/>
      <c r="H322" s="12">
        <v>1715</v>
      </c>
      <c r="I322" s="12"/>
      <c r="J322" s="12"/>
      <c r="K322" s="162" t="s">
        <v>193</v>
      </c>
    </row>
    <row r="323" spans="1:35" x14ac:dyDescent="0.2">
      <c r="A323" s="343"/>
      <c r="B323" s="156"/>
      <c r="C323" s="159"/>
      <c r="D323" s="162"/>
      <c r="E323" s="137">
        <v>2016</v>
      </c>
      <c r="F323" s="14">
        <f t="shared" si="22"/>
        <v>931.30000000000018</v>
      </c>
      <c r="G323" s="14"/>
      <c r="H323" s="14">
        <f>2151.3-1220</f>
        <v>931.30000000000018</v>
      </c>
      <c r="I323" s="14"/>
      <c r="J323" s="14"/>
      <c r="K323" s="163"/>
      <c r="L323" s="125" t="s">
        <v>312</v>
      </c>
    </row>
    <row r="324" spans="1:35" x14ac:dyDescent="0.2">
      <c r="A324" s="343"/>
      <c r="B324" s="156"/>
      <c r="C324" s="159"/>
      <c r="D324" s="162"/>
      <c r="E324" s="137">
        <v>2017</v>
      </c>
      <c r="F324" s="14">
        <f t="shared" si="22"/>
        <v>999.99999999999977</v>
      </c>
      <c r="G324" s="14"/>
      <c r="H324" s="14">
        <f>2058.7-1058.7</f>
        <v>999.99999999999977</v>
      </c>
      <c r="I324" s="14"/>
      <c r="J324" s="14"/>
      <c r="K324" s="163"/>
      <c r="L324" s="125" t="s">
        <v>292</v>
      </c>
      <c r="M324" s="132"/>
    </row>
    <row r="325" spans="1:35" x14ac:dyDescent="0.2">
      <c r="A325" s="343"/>
      <c r="B325" s="156"/>
      <c r="C325" s="159"/>
      <c r="D325" s="162"/>
      <c r="E325" s="137">
        <v>2018</v>
      </c>
      <c r="F325" s="14">
        <f t="shared" si="22"/>
        <v>1000</v>
      </c>
      <c r="G325" s="14"/>
      <c r="H325" s="14">
        <f>1200-200</f>
        <v>1000</v>
      </c>
      <c r="I325" s="14"/>
      <c r="J325" s="14"/>
      <c r="K325" s="163"/>
      <c r="L325" s="125" t="s">
        <v>292</v>
      </c>
      <c r="M325" s="132"/>
    </row>
    <row r="326" spans="1:35" x14ac:dyDescent="0.2">
      <c r="A326" s="343"/>
      <c r="B326" s="156"/>
      <c r="C326" s="159"/>
      <c r="D326" s="162"/>
      <c r="E326" s="137">
        <v>2019</v>
      </c>
      <c r="F326" s="14">
        <f t="shared" si="22"/>
        <v>1000</v>
      </c>
      <c r="G326" s="14"/>
      <c r="H326" s="14">
        <f>1260-260</f>
        <v>1000</v>
      </c>
      <c r="I326" s="14"/>
      <c r="J326" s="14"/>
      <c r="K326" s="163"/>
      <c r="L326" s="125" t="s">
        <v>292</v>
      </c>
      <c r="M326" s="132"/>
    </row>
    <row r="327" spans="1:35" x14ac:dyDescent="0.2">
      <c r="A327" s="343"/>
      <c r="B327" s="156"/>
      <c r="C327" s="159"/>
      <c r="D327" s="162"/>
      <c r="E327" s="137">
        <v>2020</v>
      </c>
      <c r="F327" s="14">
        <f t="shared" si="22"/>
        <v>1530</v>
      </c>
      <c r="G327" s="14"/>
      <c r="H327" s="14">
        <v>1530</v>
      </c>
      <c r="I327" s="14"/>
      <c r="J327" s="14"/>
      <c r="K327" s="163"/>
    </row>
    <row r="328" spans="1:35" ht="63.75" customHeight="1" thickBot="1" x14ac:dyDescent="0.25">
      <c r="A328" s="418"/>
      <c r="B328" s="156"/>
      <c r="C328" s="160"/>
      <c r="D328" s="162"/>
      <c r="E328" s="24" t="s">
        <v>18</v>
      </c>
      <c r="F328" s="13">
        <f>SUM(F322:F327)</f>
        <v>7176.3</v>
      </c>
      <c r="G328" s="13"/>
      <c r="H328" s="13">
        <f>SUM(H322:H327)</f>
        <v>7176.3</v>
      </c>
      <c r="I328" s="14"/>
      <c r="J328" s="14"/>
      <c r="K328" s="164"/>
    </row>
    <row r="329" spans="1:35" ht="18" customHeight="1" x14ac:dyDescent="0.2">
      <c r="A329" s="413" t="s">
        <v>258</v>
      </c>
      <c r="B329" s="414"/>
      <c r="C329" s="414"/>
      <c r="D329" s="414"/>
      <c r="E329" s="414"/>
      <c r="F329" s="414"/>
      <c r="G329" s="414"/>
      <c r="H329" s="414"/>
      <c r="I329" s="414"/>
      <c r="J329" s="414"/>
      <c r="K329" s="415"/>
    </row>
    <row r="330" spans="1:35" ht="47.25" customHeight="1" x14ac:dyDescent="0.25">
      <c r="A330" s="416" t="s">
        <v>259</v>
      </c>
      <c r="B330" s="364"/>
      <c r="C330" s="364"/>
      <c r="D330" s="365"/>
      <c r="E330" s="100" t="s">
        <v>75</v>
      </c>
      <c r="F330" s="100" t="s">
        <v>18</v>
      </c>
      <c r="G330" s="100" t="s">
        <v>10</v>
      </c>
      <c r="H330" s="98" t="s">
        <v>11</v>
      </c>
      <c r="I330" s="98" t="s">
        <v>12</v>
      </c>
      <c r="J330" s="98" t="s">
        <v>13</v>
      </c>
      <c r="K330" s="58"/>
    </row>
    <row r="331" spans="1:35" ht="13.5" thickBot="1" x14ac:dyDescent="0.25">
      <c r="A331" s="91"/>
      <c r="B331" s="91"/>
      <c r="C331" s="91"/>
      <c r="D331" s="91"/>
      <c r="E331" s="91"/>
      <c r="F331" s="112">
        <f>SUM(G331:J331)</f>
        <v>3881924.1500000004</v>
      </c>
      <c r="G331" s="112">
        <f>G328+G320+G311+G302+G265+G240</f>
        <v>0</v>
      </c>
      <c r="H331" s="112">
        <f t="shared" ref="H331:I331" si="23">H328+H320+H311+H302+H265+H240</f>
        <v>3636950.4000000004</v>
      </c>
      <c r="I331" s="112">
        <f t="shared" si="23"/>
        <v>244973.75</v>
      </c>
      <c r="J331" s="113"/>
      <c r="K331" s="91"/>
    </row>
    <row r="332" spans="1:35" ht="41.25" customHeight="1" x14ac:dyDescent="0.2">
      <c r="A332" s="316" t="s">
        <v>268</v>
      </c>
      <c r="B332" s="317"/>
      <c r="C332" s="317"/>
      <c r="D332" s="317"/>
      <c r="E332" s="317"/>
      <c r="F332" s="317"/>
      <c r="G332" s="317"/>
      <c r="H332" s="317"/>
      <c r="I332" s="317"/>
      <c r="J332" s="317"/>
      <c r="K332" s="317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  <c r="AC332" s="45"/>
      <c r="AD332" s="45"/>
      <c r="AE332" s="45"/>
      <c r="AF332" s="45"/>
      <c r="AG332" s="45"/>
      <c r="AH332" s="45"/>
      <c r="AI332" s="46"/>
    </row>
    <row r="333" spans="1:35" ht="35.25" customHeight="1" x14ac:dyDescent="0.2">
      <c r="A333" s="388" t="s">
        <v>230</v>
      </c>
      <c r="B333" s="338"/>
      <c r="C333" s="338"/>
      <c r="D333" s="338"/>
      <c r="E333" s="338"/>
      <c r="F333" s="338"/>
      <c r="G333" s="338"/>
      <c r="H333" s="338"/>
      <c r="I333" s="338"/>
      <c r="J333" s="338"/>
      <c r="K333" s="338"/>
      <c r="L333" s="64"/>
      <c r="M333" s="64"/>
      <c r="N333" s="64"/>
      <c r="O333" s="64"/>
      <c r="P333" s="64"/>
      <c r="Q333" s="64"/>
      <c r="R333" s="64"/>
      <c r="S333" s="64"/>
      <c r="T333" s="64"/>
      <c r="U333" s="64"/>
      <c r="V333" s="64"/>
      <c r="W333" s="64"/>
      <c r="X333" s="64"/>
      <c r="Y333" s="64"/>
      <c r="Z333" s="64"/>
      <c r="AA333" s="64"/>
      <c r="AB333" s="64"/>
      <c r="AC333" s="64"/>
      <c r="AD333" s="64"/>
      <c r="AE333" s="64"/>
      <c r="AF333" s="64"/>
      <c r="AG333" s="64"/>
      <c r="AH333" s="64"/>
      <c r="AI333" s="65"/>
    </row>
    <row r="334" spans="1:35" x14ac:dyDescent="0.2">
      <c r="A334" s="342" t="s">
        <v>129</v>
      </c>
      <c r="B334" s="221" t="s">
        <v>86</v>
      </c>
      <c r="C334" s="158" t="s">
        <v>84</v>
      </c>
      <c r="D334" s="161" t="s">
        <v>255</v>
      </c>
      <c r="E334" s="137">
        <v>2015</v>
      </c>
      <c r="F334" s="137"/>
      <c r="G334" s="137"/>
      <c r="H334" s="137"/>
      <c r="I334" s="137"/>
      <c r="J334" s="137"/>
      <c r="K334" s="161" t="s">
        <v>194</v>
      </c>
    </row>
    <row r="335" spans="1:35" x14ac:dyDescent="0.2">
      <c r="A335" s="343"/>
      <c r="B335" s="211"/>
      <c r="C335" s="159"/>
      <c r="D335" s="162"/>
      <c r="E335" s="137">
        <v>2016</v>
      </c>
      <c r="F335" s="137"/>
      <c r="G335" s="137"/>
      <c r="H335" s="137"/>
      <c r="I335" s="137"/>
      <c r="J335" s="137"/>
      <c r="K335" s="162"/>
    </row>
    <row r="336" spans="1:35" x14ac:dyDescent="0.2">
      <c r="A336" s="343"/>
      <c r="B336" s="211"/>
      <c r="C336" s="159"/>
      <c r="D336" s="162"/>
      <c r="E336" s="137">
        <v>2017</v>
      </c>
      <c r="F336" s="137"/>
      <c r="G336" s="137"/>
      <c r="H336" s="137"/>
      <c r="I336" s="137"/>
      <c r="J336" s="137"/>
      <c r="K336" s="162"/>
    </row>
    <row r="337" spans="1:35" x14ac:dyDescent="0.2">
      <c r="A337" s="343"/>
      <c r="B337" s="211"/>
      <c r="C337" s="159"/>
      <c r="D337" s="162"/>
      <c r="E337" s="137">
        <v>2018</v>
      </c>
      <c r="F337" s="137"/>
      <c r="G337" s="137"/>
      <c r="H337" s="137"/>
      <c r="I337" s="137"/>
      <c r="J337" s="137"/>
      <c r="K337" s="162"/>
    </row>
    <row r="338" spans="1:35" x14ac:dyDescent="0.2">
      <c r="A338" s="343"/>
      <c r="B338" s="211"/>
      <c r="C338" s="159"/>
      <c r="D338" s="162"/>
      <c r="E338" s="137">
        <v>2019</v>
      </c>
      <c r="F338" s="137"/>
      <c r="G338" s="137"/>
      <c r="H338" s="137"/>
      <c r="I338" s="137"/>
      <c r="J338" s="137"/>
      <c r="K338" s="162"/>
    </row>
    <row r="339" spans="1:35" x14ac:dyDescent="0.2">
      <c r="A339" s="343"/>
      <c r="B339" s="211"/>
      <c r="C339" s="159"/>
      <c r="D339" s="162"/>
      <c r="E339" s="137">
        <v>2020</v>
      </c>
      <c r="F339" s="137"/>
      <c r="G339" s="137"/>
      <c r="H339" s="137"/>
      <c r="I339" s="137"/>
      <c r="J339" s="137"/>
      <c r="K339" s="162"/>
    </row>
    <row r="340" spans="1:35" ht="13.5" thickBot="1" x14ac:dyDescent="0.25">
      <c r="A340" s="343"/>
      <c r="B340" s="211"/>
      <c r="C340" s="159"/>
      <c r="D340" s="162"/>
      <c r="E340" s="32" t="s">
        <v>18</v>
      </c>
      <c r="F340" s="32"/>
      <c r="G340" s="140"/>
      <c r="H340" s="140"/>
      <c r="I340" s="140"/>
      <c r="J340" s="140"/>
      <c r="K340" s="162"/>
    </row>
    <row r="341" spans="1:35" ht="30" customHeight="1" thickBot="1" x14ac:dyDescent="0.25">
      <c r="A341" s="255" t="s">
        <v>231</v>
      </c>
      <c r="B341" s="338"/>
      <c r="C341" s="338"/>
      <c r="D341" s="338"/>
      <c r="E341" s="338"/>
      <c r="F341" s="338"/>
      <c r="G341" s="338"/>
      <c r="H341" s="338"/>
      <c r="I341" s="338"/>
      <c r="J341" s="338"/>
      <c r="K341" s="338"/>
      <c r="L341" s="66"/>
      <c r="M341" s="66"/>
      <c r="N341" s="66"/>
      <c r="O341" s="66"/>
      <c r="P341" s="66"/>
      <c r="Q341" s="66"/>
      <c r="R341" s="66"/>
      <c r="S341" s="66"/>
      <c r="T341" s="66"/>
      <c r="U341" s="66"/>
      <c r="V341" s="66"/>
      <c r="W341" s="66"/>
      <c r="X341" s="66"/>
      <c r="Y341" s="66"/>
      <c r="Z341" s="66"/>
      <c r="AA341" s="66"/>
      <c r="AB341" s="66"/>
      <c r="AC341" s="66"/>
      <c r="AD341" s="66"/>
      <c r="AE341" s="66"/>
      <c r="AF341" s="66"/>
      <c r="AG341" s="66"/>
      <c r="AH341" s="66"/>
      <c r="AI341" s="67"/>
    </row>
    <row r="342" spans="1:35" ht="15" thickBot="1" x14ac:dyDescent="0.25">
      <c r="A342" s="339" t="s">
        <v>87</v>
      </c>
      <c r="B342" s="340"/>
      <c r="C342" s="340"/>
      <c r="D342" s="340"/>
      <c r="E342" s="340"/>
      <c r="F342" s="340"/>
      <c r="G342" s="340"/>
      <c r="H342" s="340"/>
      <c r="I342" s="340"/>
      <c r="J342" s="340"/>
      <c r="K342" s="341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9"/>
    </row>
    <row r="343" spans="1:35" ht="12.75" customHeight="1" x14ac:dyDescent="0.2">
      <c r="A343" s="179" t="s">
        <v>40</v>
      </c>
      <c r="B343" s="337" t="s">
        <v>196</v>
      </c>
      <c r="C343" s="158" t="s">
        <v>84</v>
      </c>
      <c r="D343" s="161" t="s">
        <v>255</v>
      </c>
      <c r="E343" s="137">
        <v>2015</v>
      </c>
      <c r="F343" s="14">
        <f t="shared" ref="F343:F348" si="24">SUM(G343:J343)</f>
        <v>44637.9</v>
      </c>
      <c r="G343" s="14"/>
      <c r="H343" s="14"/>
      <c r="I343" s="14">
        <f>49100-1324.1-939.1-30-1573.9-583-12</f>
        <v>44637.9</v>
      </c>
      <c r="J343" s="14"/>
      <c r="K343" s="161" t="s">
        <v>195</v>
      </c>
    </row>
    <row r="344" spans="1:35" x14ac:dyDescent="0.2">
      <c r="A344" s="180"/>
      <c r="B344" s="193"/>
      <c r="C344" s="159"/>
      <c r="D344" s="162"/>
      <c r="E344" s="137">
        <v>2016</v>
      </c>
      <c r="F344" s="14">
        <f t="shared" si="24"/>
        <v>44921</v>
      </c>
      <c r="G344" s="14"/>
      <c r="H344" s="14"/>
      <c r="I344" s="14">
        <f>47428-1000-707-500-300</f>
        <v>44921</v>
      </c>
      <c r="J344" s="14"/>
      <c r="K344" s="162"/>
      <c r="L344" s="4" t="s">
        <v>327</v>
      </c>
    </row>
    <row r="345" spans="1:35" x14ac:dyDescent="0.2">
      <c r="A345" s="180"/>
      <c r="B345" s="193"/>
      <c r="C345" s="159"/>
      <c r="D345" s="162"/>
      <c r="E345" s="137">
        <v>2017</v>
      </c>
      <c r="F345" s="14">
        <f t="shared" si="24"/>
        <v>42110.2</v>
      </c>
      <c r="G345" s="14"/>
      <c r="H345" s="14"/>
      <c r="I345" s="14">
        <f>51555-9444.8</f>
        <v>42110.2</v>
      </c>
      <c r="J345" s="14"/>
      <c r="K345" s="162"/>
      <c r="L345" s="125" t="s">
        <v>292</v>
      </c>
      <c r="M345" s="132"/>
    </row>
    <row r="346" spans="1:35" x14ac:dyDescent="0.2">
      <c r="A346" s="180"/>
      <c r="B346" s="193"/>
      <c r="C346" s="159"/>
      <c r="D346" s="162"/>
      <c r="E346" s="137">
        <v>2018</v>
      </c>
      <c r="F346" s="14">
        <f t="shared" si="24"/>
        <v>46555</v>
      </c>
      <c r="G346" s="14"/>
      <c r="H346" s="14"/>
      <c r="I346" s="14">
        <f>63004.7-16449.7</f>
        <v>46555</v>
      </c>
      <c r="J346" s="14"/>
      <c r="K346" s="162"/>
      <c r="L346" s="125" t="s">
        <v>292</v>
      </c>
      <c r="M346" s="132"/>
    </row>
    <row r="347" spans="1:35" x14ac:dyDescent="0.2">
      <c r="A347" s="180"/>
      <c r="B347" s="193"/>
      <c r="C347" s="159"/>
      <c r="D347" s="162"/>
      <c r="E347" s="137">
        <v>2019</v>
      </c>
      <c r="F347" s="14">
        <f t="shared" ref="F347" si="25">SUM(G347:J347)</f>
        <v>46554.999999999993</v>
      </c>
      <c r="G347" s="14"/>
      <c r="H347" s="14"/>
      <c r="I347" s="14">
        <f>66280.9-19725.9</f>
        <v>46554.999999999993</v>
      </c>
      <c r="J347" s="14"/>
      <c r="K347" s="162"/>
      <c r="L347" s="125" t="s">
        <v>292</v>
      </c>
      <c r="M347" s="132"/>
    </row>
    <row r="348" spans="1:35" x14ac:dyDescent="0.2">
      <c r="A348" s="180"/>
      <c r="B348" s="193"/>
      <c r="C348" s="159"/>
      <c r="D348" s="162"/>
      <c r="E348" s="137">
        <v>2020</v>
      </c>
      <c r="F348" s="14">
        <f t="shared" si="24"/>
        <v>70058.899999999994</v>
      </c>
      <c r="G348" s="14"/>
      <c r="H348" s="14"/>
      <c r="I348" s="14">
        <v>70058.899999999994</v>
      </c>
      <c r="J348" s="14"/>
      <c r="K348" s="162"/>
    </row>
    <row r="349" spans="1:35" ht="15.75" customHeight="1" thickBot="1" x14ac:dyDescent="0.25">
      <c r="A349" s="180"/>
      <c r="B349" s="200"/>
      <c r="C349" s="160"/>
      <c r="D349" s="162"/>
      <c r="E349" s="24" t="s">
        <v>18</v>
      </c>
      <c r="F349" s="13">
        <f>SUM(F343:F348)</f>
        <v>294838</v>
      </c>
      <c r="G349" s="13"/>
      <c r="H349" s="13">
        <f>SUM(H346:H348)</f>
        <v>0</v>
      </c>
      <c r="I349" s="13">
        <f>SUM(I343:I348)</f>
        <v>294838</v>
      </c>
      <c r="J349" s="14"/>
      <c r="K349" s="165"/>
    </row>
    <row r="350" spans="1:35" ht="15" thickBot="1" x14ac:dyDescent="0.25">
      <c r="A350" s="249" t="s">
        <v>89</v>
      </c>
      <c r="B350" s="193"/>
      <c r="C350" s="193"/>
      <c r="D350" s="193"/>
      <c r="E350" s="193"/>
      <c r="F350" s="193"/>
      <c r="G350" s="193"/>
      <c r="H350" s="193"/>
      <c r="I350" s="193"/>
      <c r="J350" s="193"/>
      <c r="K350" s="193"/>
      <c r="L350" s="31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1"/>
    </row>
    <row r="351" spans="1:35" x14ac:dyDescent="0.2">
      <c r="A351" s="335" t="s">
        <v>81</v>
      </c>
      <c r="B351" s="337" t="s">
        <v>197</v>
      </c>
      <c r="C351" s="158" t="s">
        <v>84</v>
      </c>
      <c r="D351" s="161" t="s">
        <v>255</v>
      </c>
      <c r="E351" s="137">
        <v>2015</v>
      </c>
      <c r="F351" s="14"/>
      <c r="G351" s="14"/>
      <c r="H351" s="14"/>
      <c r="I351" s="14"/>
      <c r="J351" s="14"/>
      <c r="K351" s="161" t="s">
        <v>198</v>
      </c>
      <c r="L351" s="34"/>
    </row>
    <row r="352" spans="1:35" x14ac:dyDescent="0.2">
      <c r="A352" s="336"/>
      <c r="B352" s="193"/>
      <c r="C352" s="159"/>
      <c r="D352" s="162"/>
      <c r="E352" s="137">
        <v>2016</v>
      </c>
      <c r="F352" s="14"/>
      <c r="G352" s="14"/>
      <c r="H352" s="14"/>
      <c r="I352" s="14"/>
      <c r="J352" s="14"/>
      <c r="K352" s="162"/>
    </row>
    <row r="353" spans="1:14" x14ac:dyDescent="0.2">
      <c r="A353" s="336"/>
      <c r="B353" s="193"/>
      <c r="C353" s="159"/>
      <c r="D353" s="162"/>
      <c r="E353" s="137">
        <v>2017</v>
      </c>
      <c r="F353" s="14"/>
      <c r="G353" s="14"/>
      <c r="H353" s="14"/>
      <c r="I353" s="14"/>
      <c r="J353" s="14"/>
      <c r="K353" s="162"/>
    </row>
    <row r="354" spans="1:14" x14ac:dyDescent="0.2">
      <c r="A354" s="336"/>
      <c r="B354" s="193"/>
      <c r="C354" s="159"/>
      <c r="D354" s="162"/>
      <c r="E354" s="137">
        <v>2018</v>
      </c>
      <c r="F354" s="14">
        <f>SUM(G354:J354)</f>
        <v>470</v>
      </c>
      <c r="G354" s="14"/>
      <c r="H354" s="14"/>
      <c r="I354" s="14"/>
      <c r="J354" s="14">
        <f>470</f>
        <v>470</v>
      </c>
      <c r="K354" s="162"/>
      <c r="L354" s="125" t="s">
        <v>307</v>
      </c>
    </row>
    <row r="355" spans="1:14" x14ac:dyDescent="0.2">
      <c r="A355" s="336"/>
      <c r="B355" s="193"/>
      <c r="C355" s="159"/>
      <c r="D355" s="162"/>
      <c r="E355" s="137">
        <v>2019</v>
      </c>
      <c r="F355" s="14">
        <f>SUM(G355:J355)</f>
        <v>500</v>
      </c>
      <c r="G355" s="14"/>
      <c r="H355" s="14"/>
      <c r="I355" s="14"/>
      <c r="J355" s="14">
        <f>500</f>
        <v>500</v>
      </c>
      <c r="K355" s="162"/>
      <c r="L355" s="4" t="s">
        <v>315</v>
      </c>
    </row>
    <row r="356" spans="1:14" x14ac:dyDescent="0.2">
      <c r="A356" s="336"/>
      <c r="B356" s="193"/>
      <c r="C356" s="159"/>
      <c r="D356" s="162"/>
      <c r="E356" s="137">
        <v>2020</v>
      </c>
      <c r="F356" s="14">
        <f>SUM(G356:J356)</f>
        <v>535</v>
      </c>
      <c r="G356" s="14"/>
      <c r="H356" s="14"/>
      <c r="I356" s="14"/>
      <c r="J356" s="14">
        <v>535</v>
      </c>
      <c r="K356" s="162"/>
    </row>
    <row r="357" spans="1:14" ht="25.5" customHeight="1" thickBot="1" x14ac:dyDescent="0.25">
      <c r="A357" s="336"/>
      <c r="B357" s="193"/>
      <c r="C357" s="160"/>
      <c r="D357" s="162"/>
      <c r="E357" s="24" t="s">
        <v>18</v>
      </c>
      <c r="F357" s="13">
        <f>SUM(F351:F356)</f>
        <v>1505</v>
      </c>
      <c r="G357" s="14"/>
      <c r="H357" s="14"/>
      <c r="I357" s="14"/>
      <c r="J357" s="13">
        <f>SUM(J351:J356)</f>
        <v>1505</v>
      </c>
      <c r="K357" s="165"/>
    </row>
    <row r="358" spans="1:14" x14ac:dyDescent="0.2">
      <c r="A358" s="348" t="s">
        <v>90</v>
      </c>
      <c r="B358" s="174" t="s">
        <v>199</v>
      </c>
      <c r="C358" s="158" t="s">
        <v>84</v>
      </c>
      <c r="D358" s="161" t="s">
        <v>255</v>
      </c>
      <c r="E358" s="141">
        <v>2015</v>
      </c>
      <c r="F358" s="12"/>
      <c r="G358" s="12"/>
      <c r="H358" s="12"/>
      <c r="I358" s="12"/>
      <c r="J358" s="12"/>
      <c r="K358" s="161" t="s">
        <v>198</v>
      </c>
    </row>
    <row r="359" spans="1:14" x14ac:dyDescent="0.2">
      <c r="A359" s="346"/>
      <c r="B359" s="193"/>
      <c r="C359" s="159"/>
      <c r="D359" s="162"/>
      <c r="E359" s="137">
        <v>2016</v>
      </c>
      <c r="F359" s="14"/>
      <c r="G359" s="14"/>
      <c r="H359" s="14"/>
      <c r="I359" s="14"/>
      <c r="J359" s="14"/>
      <c r="K359" s="162"/>
    </row>
    <row r="360" spans="1:14" x14ac:dyDescent="0.2">
      <c r="A360" s="346"/>
      <c r="B360" s="193"/>
      <c r="C360" s="159"/>
      <c r="D360" s="162"/>
      <c r="E360" s="137">
        <v>2017</v>
      </c>
      <c r="F360" s="14"/>
      <c r="G360" s="14"/>
      <c r="H360" s="14"/>
      <c r="I360" s="14"/>
      <c r="J360" s="14"/>
      <c r="K360" s="162"/>
    </row>
    <row r="361" spans="1:14" x14ac:dyDescent="0.2">
      <c r="A361" s="346"/>
      <c r="B361" s="193"/>
      <c r="C361" s="159"/>
      <c r="D361" s="162"/>
      <c r="E361" s="137">
        <v>2018</v>
      </c>
      <c r="F361" s="14">
        <f>SUM(G361:J361)</f>
        <v>540</v>
      </c>
      <c r="G361" s="14"/>
      <c r="H361" s="14"/>
      <c r="I361" s="14"/>
      <c r="J361" s="14">
        <f>540</f>
        <v>540</v>
      </c>
      <c r="K361" s="162"/>
      <c r="L361" s="125" t="s">
        <v>307</v>
      </c>
    </row>
    <row r="362" spans="1:14" x14ac:dyDescent="0.2">
      <c r="A362" s="346"/>
      <c r="B362" s="193"/>
      <c r="C362" s="159"/>
      <c r="D362" s="162"/>
      <c r="E362" s="137">
        <v>2019</v>
      </c>
      <c r="F362" s="14">
        <f>SUM(G362:J362)</f>
        <v>570</v>
      </c>
      <c r="G362" s="14"/>
      <c r="H362" s="14"/>
      <c r="I362" s="14"/>
      <c r="J362" s="14">
        <f>570</f>
        <v>570</v>
      </c>
      <c r="K362" s="162"/>
      <c r="L362" s="4" t="s">
        <v>307</v>
      </c>
    </row>
    <row r="363" spans="1:14" x14ac:dyDescent="0.2">
      <c r="A363" s="346"/>
      <c r="B363" s="193"/>
      <c r="C363" s="159"/>
      <c r="D363" s="162"/>
      <c r="E363" s="137">
        <v>2020</v>
      </c>
      <c r="F363" s="14">
        <f>SUM(G363:J363)</f>
        <v>600</v>
      </c>
      <c r="G363" s="14"/>
      <c r="H363" s="14"/>
      <c r="I363" s="14"/>
      <c r="J363" s="14">
        <v>600</v>
      </c>
      <c r="K363" s="162"/>
    </row>
    <row r="364" spans="1:14" x14ac:dyDescent="0.2">
      <c r="A364" s="349"/>
      <c r="B364" s="200"/>
      <c r="C364" s="159"/>
      <c r="D364" s="162"/>
      <c r="E364" s="32" t="s">
        <v>18</v>
      </c>
      <c r="F364" s="51">
        <f>SUM(F361:F363)</f>
        <v>1710</v>
      </c>
      <c r="G364" s="28"/>
      <c r="H364" s="28"/>
      <c r="I364" s="28"/>
      <c r="J364" s="51">
        <f>SUM(J358:J363)</f>
        <v>1710</v>
      </c>
      <c r="K364" s="162"/>
    </row>
    <row r="365" spans="1:14" x14ac:dyDescent="0.2">
      <c r="A365" s="345" t="s">
        <v>154</v>
      </c>
      <c r="B365" s="347" t="s">
        <v>265</v>
      </c>
      <c r="C365" s="158" t="s">
        <v>84</v>
      </c>
      <c r="D365" s="161" t="s">
        <v>255</v>
      </c>
      <c r="E365" s="137">
        <v>2015</v>
      </c>
      <c r="F365" s="14">
        <f t="shared" ref="F365:F370" si="26">SUM(G365:I365)</f>
        <v>1364.4</v>
      </c>
      <c r="G365" s="14"/>
      <c r="H365" s="14"/>
      <c r="I365" s="14">
        <f>1322.4+30+12</f>
        <v>1364.4</v>
      </c>
      <c r="J365" s="14"/>
      <c r="K365" s="161" t="s">
        <v>172</v>
      </c>
    </row>
    <row r="366" spans="1:14" x14ac:dyDescent="0.2">
      <c r="A366" s="346"/>
      <c r="B366" s="225"/>
      <c r="C366" s="159"/>
      <c r="D366" s="162"/>
      <c r="E366" s="137">
        <v>2016</v>
      </c>
      <c r="F366" s="12">
        <f t="shared" si="26"/>
        <v>1322.4</v>
      </c>
      <c r="G366" s="14"/>
      <c r="H366" s="14"/>
      <c r="I366" s="14">
        <v>1322.4</v>
      </c>
      <c r="J366" s="14"/>
      <c r="K366" s="162"/>
    </row>
    <row r="367" spans="1:14" x14ac:dyDescent="0.2">
      <c r="A367" s="346"/>
      <c r="B367" s="225"/>
      <c r="C367" s="159"/>
      <c r="D367" s="162"/>
      <c r="E367" s="137">
        <v>2017</v>
      </c>
      <c r="F367" s="12">
        <f t="shared" si="26"/>
        <v>1338.3000000000002</v>
      </c>
      <c r="G367" s="14"/>
      <c r="H367" s="14"/>
      <c r="I367" s="14">
        <f>1322.4+15.9</f>
        <v>1338.3000000000002</v>
      </c>
      <c r="J367" s="14"/>
      <c r="K367" s="162"/>
      <c r="L367" s="125" t="s">
        <v>292</v>
      </c>
      <c r="M367" s="131" t="s">
        <v>328</v>
      </c>
      <c r="N367" s="132"/>
    </row>
    <row r="368" spans="1:14" x14ac:dyDescent="0.2">
      <c r="A368" s="346"/>
      <c r="B368" s="225"/>
      <c r="C368" s="159"/>
      <c r="D368" s="162"/>
      <c r="E368" s="137">
        <v>2018</v>
      </c>
      <c r="F368" s="12">
        <f t="shared" si="26"/>
        <v>1524.8</v>
      </c>
      <c r="G368" s="14"/>
      <c r="H368" s="14"/>
      <c r="I368" s="14">
        <f>1312+212.8</f>
        <v>1524.8</v>
      </c>
      <c r="J368" s="14"/>
      <c r="K368" s="162"/>
      <c r="L368" s="125" t="s">
        <v>292</v>
      </c>
      <c r="M368" s="131" t="s">
        <v>329</v>
      </c>
      <c r="N368" s="132"/>
    </row>
    <row r="369" spans="1:15" x14ac:dyDescent="0.2">
      <c r="A369" s="346"/>
      <c r="B369" s="225"/>
      <c r="C369" s="159"/>
      <c r="D369" s="162"/>
      <c r="E369" s="137">
        <v>2019</v>
      </c>
      <c r="F369" s="12">
        <f t="shared" ref="F369" si="27">SUM(G369:I369)</f>
        <v>1524.8</v>
      </c>
      <c r="G369" s="14"/>
      <c r="H369" s="14"/>
      <c r="I369" s="14">
        <f>1292.3+232.5</f>
        <v>1524.8</v>
      </c>
      <c r="J369" s="14"/>
      <c r="K369" s="162"/>
      <c r="L369" s="125" t="s">
        <v>292</v>
      </c>
      <c r="M369" s="131" t="s">
        <v>330</v>
      </c>
      <c r="N369" s="132"/>
    </row>
    <row r="370" spans="1:15" x14ac:dyDescent="0.2">
      <c r="A370" s="346"/>
      <c r="B370" s="225"/>
      <c r="C370" s="159"/>
      <c r="D370" s="162"/>
      <c r="E370" s="137">
        <v>2020</v>
      </c>
      <c r="F370" s="12">
        <f t="shared" si="26"/>
        <v>1236.0999999999999</v>
      </c>
      <c r="G370" s="14"/>
      <c r="H370" s="14"/>
      <c r="I370" s="14">
        <v>1236.0999999999999</v>
      </c>
      <c r="J370" s="14"/>
      <c r="K370" s="162"/>
    </row>
    <row r="371" spans="1:15" ht="29.25" customHeight="1" x14ac:dyDescent="0.2">
      <c r="A371" s="346"/>
      <c r="B371" s="225"/>
      <c r="C371" s="187"/>
      <c r="D371" s="165"/>
      <c r="E371" s="24" t="s">
        <v>18</v>
      </c>
      <c r="F371" s="13">
        <f>SUM(F365:F370)</f>
        <v>8310.8000000000011</v>
      </c>
      <c r="G371" s="14"/>
      <c r="H371" s="14"/>
      <c r="I371" s="13">
        <f>SUM(I365:I370)</f>
        <v>8310.8000000000011</v>
      </c>
      <c r="J371" s="14"/>
      <c r="K371" s="165"/>
    </row>
    <row r="372" spans="1:15" x14ac:dyDescent="0.2">
      <c r="A372" s="345" t="s">
        <v>155</v>
      </c>
      <c r="B372" s="347" t="s">
        <v>260</v>
      </c>
      <c r="C372" s="158" t="s">
        <v>84</v>
      </c>
      <c r="D372" s="161" t="s">
        <v>255</v>
      </c>
      <c r="E372" s="137">
        <v>2015</v>
      </c>
      <c r="F372" s="14">
        <f>H372+I372</f>
        <v>260.60000000000002</v>
      </c>
      <c r="G372" s="14"/>
      <c r="H372" s="14">
        <v>230</v>
      </c>
      <c r="I372" s="14">
        <v>30.6</v>
      </c>
      <c r="J372" s="14"/>
      <c r="K372" s="161" t="s">
        <v>200</v>
      </c>
    </row>
    <row r="373" spans="1:15" x14ac:dyDescent="0.2">
      <c r="A373" s="346"/>
      <c r="B373" s="225"/>
      <c r="C373" s="159"/>
      <c r="D373" s="162"/>
      <c r="E373" s="137">
        <v>2016</v>
      </c>
      <c r="F373" s="12"/>
      <c r="G373" s="14"/>
      <c r="H373" s="14"/>
      <c r="I373" s="14"/>
      <c r="J373" s="14"/>
      <c r="K373" s="162"/>
    </row>
    <row r="374" spans="1:15" x14ac:dyDescent="0.2">
      <c r="A374" s="346"/>
      <c r="B374" s="225"/>
      <c r="C374" s="159"/>
      <c r="D374" s="162"/>
      <c r="E374" s="137">
        <v>2017</v>
      </c>
      <c r="F374" s="12"/>
      <c r="G374" s="14"/>
      <c r="H374" s="14"/>
      <c r="I374" s="14"/>
      <c r="J374" s="14"/>
      <c r="K374" s="162"/>
    </row>
    <row r="375" spans="1:15" x14ac:dyDescent="0.2">
      <c r="A375" s="346"/>
      <c r="B375" s="225"/>
      <c r="C375" s="159"/>
      <c r="D375" s="162"/>
      <c r="E375" s="137">
        <v>2018</v>
      </c>
      <c r="F375" s="12"/>
      <c r="G375" s="14"/>
      <c r="H375" s="14"/>
      <c r="I375" s="14"/>
      <c r="J375" s="14"/>
      <c r="K375" s="162"/>
    </row>
    <row r="376" spans="1:15" x14ac:dyDescent="0.2">
      <c r="A376" s="346"/>
      <c r="B376" s="225"/>
      <c r="C376" s="159"/>
      <c r="D376" s="162"/>
      <c r="E376" s="137">
        <v>2019</v>
      </c>
      <c r="F376" s="12"/>
      <c r="G376" s="14"/>
      <c r="H376" s="14"/>
      <c r="I376" s="14"/>
      <c r="J376" s="14"/>
      <c r="K376" s="162"/>
    </row>
    <row r="377" spans="1:15" x14ac:dyDescent="0.2">
      <c r="A377" s="346"/>
      <c r="B377" s="225"/>
      <c r="C377" s="159"/>
      <c r="D377" s="162"/>
      <c r="E377" s="137">
        <v>2020</v>
      </c>
      <c r="F377" s="12"/>
      <c r="G377" s="14"/>
      <c r="H377" s="14"/>
      <c r="I377" s="14"/>
      <c r="J377" s="14"/>
      <c r="K377" s="162"/>
    </row>
    <row r="378" spans="1:15" x14ac:dyDescent="0.2">
      <c r="A378" s="346"/>
      <c r="B378" s="225"/>
      <c r="C378" s="187"/>
      <c r="D378" s="165"/>
      <c r="E378" s="24" t="s">
        <v>18</v>
      </c>
      <c r="F378" s="13">
        <f>SUM(F372:F377)</f>
        <v>260.60000000000002</v>
      </c>
      <c r="G378" s="14"/>
      <c r="H378" s="13">
        <f>H377+H376+H375+H374+H372+H373</f>
        <v>230</v>
      </c>
      <c r="I378" s="13">
        <f>SUM(I372:I377)</f>
        <v>30.6</v>
      </c>
      <c r="J378" s="14"/>
      <c r="K378" s="165"/>
    </row>
    <row r="379" spans="1:15" ht="15" customHeight="1" x14ac:dyDescent="0.2">
      <c r="A379" s="327" t="s">
        <v>160</v>
      </c>
      <c r="B379" s="214" t="s">
        <v>290</v>
      </c>
      <c r="C379" s="176" t="s">
        <v>261</v>
      </c>
      <c r="D379" s="162" t="s">
        <v>255</v>
      </c>
      <c r="E379" s="141">
        <v>2016</v>
      </c>
      <c r="F379" s="114">
        <f>G379+H379+I379</f>
        <v>445</v>
      </c>
      <c r="G379" s="115"/>
      <c r="H379" s="115"/>
      <c r="I379" s="114">
        <v>445</v>
      </c>
      <c r="J379" s="114"/>
      <c r="K379" s="162" t="s">
        <v>174</v>
      </c>
    </row>
    <row r="380" spans="1:15" ht="12.75" customHeight="1" x14ac:dyDescent="0.2">
      <c r="A380" s="327"/>
      <c r="B380" s="215"/>
      <c r="C380" s="176"/>
      <c r="D380" s="162"/>
      <c r="E380" s="137">
        <v>2017</v>
      </c>
      <c r="F380" s="114">
        <f>G380+H380+I380</f>
        <v>480.6</v>
      </c>
      <c r="G380" s="51"/>
      <c r="H380" s="51"/>
      <c r="I380" s="28">
        <v>480.6</v>
      </c>
      <c r="J380" s="28"/>
      <c r="K380" s="162"/>
      <c r="L380" s="125" t="s">
        <v>291</v>
      </c>
      <c r="O380" s="125" t="s">
        <v>295</v>
      </c>
    </row>
    <row r="381" spans="1:15" ht="15" customHeight="1" x14ac:dyDescent="0.2">
      <c r="A381" s="327"/>
      <c r="B381" s="215"/>
      <c r="C381" s="176"/>
      <c r="D381" s="162"/>
      <c r="E381" s="137">
        <v>2018</v>
      </c>
      <c r="F381" s="114">
        <f>G381+H381+I381</f>
        <v>480.6</v>
      </c>
      <c r="G381" s="51"/>
      <c r="H381" s="51"/>
      <c r="I381" s="28">
        <v>480.6</v>
      </c>
      <c r="J381" s="28"/>
      <c r="K381" s="162"/>
      <c r="L381" s="125" t="s">
        <v>291</v>
      </c>
    </row>
    <row r="382" spans="1:15" ht="13.5" customHeight="1" x14ac:dyDescent="0.2">
      <c r="A382" s="327"/>
      <c r="B382" s="215"/>
      <c r="C382" s="176"/>
      <c r="D382" s="162"/>
      <c r="E382" s="137">
        <v>2019</v>
      </c>
      <c r="F382" s="114">
        <f>G382+H382+I382</f>
        <v>480.6</v>
      </c>
      <c r="G382" s="51"/>
      <c r="H382" s="51"/>
      <c r="I382" s="28">
        <v>480.6</v>
      </c>
      <c r="J382" s="28"/>
      <c r="K382" s="162"/>
      <c r="L382" s="125" t="s">
        <v>291</v>
      </c>
    </row>
    <row r="383" spans="1:15" ht="12.75" customHeight="1" x14ac:dyDescent="0.2">
      <c r="A383" s="327"/>
      <c r="B383" s="215"/>
      <c r="C383" s="176"/>
      <c r="D383" s="162"/>
      <c r="E383" s="137">
        <v>2020</v>
      </c>
      <c r="F383" s="51"/>
      <c r="G383" s="51"/>
      <c r="H383" s="51"/>
      <c r="I383" s="51"/>
      <c r="J383" s="28"/>
      <c r="K383" s="162"/>
    </row>
    <row r="384" spans="1:15" ht="21" customHeight="1" thickBot="1" x14ac:dyDescent="0.25">
      <c r="A384" s="344"/>
      <c r="B384" s="174"/>
      <c r="C384" s="213"/>
      <c r="D384" s="165"/>
      <c r="E384" s="32" t="s">
        <v>18</v>
      </c>
      <c r="F384" s="51">
        <f>G384+H384+I384</f>
        <v>1886.8000000000002</v>
      </c>
      <c r="G384" s="51"/>
      <c r="H384" s="51"/>
      <c r="I384" s="51">
        <f>SUM(I379:I383)</f>
        <v>1886.8000000000002</v>
      </c>
      <c r="J384" s="28"/>
      <c r="K384" s="165"/>
    </row>
    <row r="385" spans="1:35" ht="26.25" thickBot="1" x14ac:dyDescent="0.25">
      <c r="A385" s="281" t="s">
        <v>220</v>
      </c>
      <c r="B385" s="282"/>
      <c r="C385" s="282"/>
      <c r="D385" s="283"/>
      <c r="E385" s="6" t="s">
        <v>75</v>
      </c>
      <c r="F385" s="17">
        <f>SUM(G385:J385)</f>
        <v>308511.19999999995</v>
      </c>
      <c r="G385" s="19">
        <f>G349+G357+G364+G371</f>
        <v>0</v>
      </c>
      <c r="H385" s="17">
        <f>H349+H357+H364+H371+H340+H378</f>
        <v>230</v>
      </c>
      <c r="I385" s="17">
        <f>I349+I357+I364+I371+I340+I378+I384</f>
        <v>305066.19999999995</v>
      </c>
      <c r="J385" s="19">
        <f>J349+J357+J364+J371+J340</f>
        <v>3215</v>
      </c>
      <c r="K385" s="6"/>
      <c r="L385" s="56"/>
      <c r="M385" s="56"/>
      <c r="N385" s="72"/>
    </row>
    <row r="386" spans="1:35" ht="32.25" customHeight="1" thickBot="1" x14ac:dyDescent="0.3">
      <c r="A386" s="249" t="s">
        <v>91</v>
      </c>
      <c r="B386" s="193"/>
      <c r="C386" s="193"/>
      <c r="D386" s="193"/>
      <c r="E386" s="193"/>
      <c r="F386" s="193"/>
      <c r="G386" s="193"/>
      <c r="H386" s="193"/>
      <c r="I386" s="193"/>
      <c r="J386" s="193"/>
      <c r="K386" s="19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73"/>
      <c r="AB386" s="73"/>
      <c r="AC386" s="73"/>
      <c r="AD386" s="73"/>
      <c r="AE386" s="73"/>
      <c r="AF386" s="73"/>
      <c r="AG386" s="73"/>
      <c r="AH386" s="73"/>
      <c r="AI386" s="74"/>
    </row>
    <row r="387" spans="1:35" ht="15" thickBot="1" x14ac:dyDescent="0.25">
      <c r="A387" s="410" t="s">
        <v>92</v>
      </c>
      <c r="B387" s="200"/>
      <c r="C387" s="200"/>
      <c r="D387" s="200"/>
      <c r="E387" s="200"/>
      <c r="F387" s="200"/>
      <c r="G387" s="200"/>
      <c r="H387" s="200"/>
      <c r="I387" s="200"/>
      <c r="J387" s="200"/>
      <c r="K387" s="20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/>
      <c r="AI387" s="71"/>
    </row>
    <row r="388" spans="1:35" ht="12.75" customHeight="1" x14ac:dyDescent="0.2">
      <c r="A388" s="407" t="s">
        <v>114</v>
      </c>
      <c r="B388" s="404" t="s">
        <v>201</v>
      </c>
      <c r="C388" s="158" t="s">
        <v>84</v>
      </c>
      <c r="D388" s="161" t="s">
        <v>255</v>
      </c>
      <c r="E388" s="137">
        <v>2015</v>
      </c>
      <c r="F388" s="95">
        <f t="shared" ref="F388:F393" si="28">SUM(G388:I388)</f>
        <v>25</v>
      </c>
      <c r="G388" s="14"/>
      <c r="H388" s="14"/>
      <c r="I388" s="14">
        <v>25</v>
      </c>
      <c r="J388" s="14"/>
      <c r="K388" s="161" t="s">
        <v>203</v>
      </c>
    </row>
    <row r="389" spans="1:35" x14ac:dyDescent="0.2">
      <c r="A389" s="408"/>
      <c r="B389" s="405"/>
      <c r="C389" s="159"/>
      <c r="D389" s="159"/>
      <c r="E389" s="137">
        <v>2016</v>
      </c>
      <c r="F389" s="95">
        <f t="shared" si="28"/>
        <v>23.6</v>
      </c>
      <c r="G389" s="14"/>
      <c r="H389" s="14"/>
      <c r="I389" s="14">
        <f>26.3-2.7</f>
        <v>23.6</v>
      </c>
      <c r="J389" s="14"/>
      <c r="K389" s="162"/>
    </row>
    <row r="390" spans="1:35" x14ac:dyDescent="0.2">
      <c r="A390" s="408"/>
      <c r="B390" s="405"/>
      <c r="C390" s="159"/>
      <c r="D390" s="159"/>
      <c r="E390" s="137">
        <v>2017</v>
      </c>
      <c r="F390" s="95">
        <f t="shared" si="28"/>
        <v>27</v>
      </c>
      <c r="G390" s="14"/>
      <c r="H390" s="14"/>
      <c r="I390" s="14">
        <v>27</v>
      </c>
      <c r="J390" s="14"/>
      <c r="K390" s="162"/>
      <c r="L390" s="125" t="s">
        <v>310</v>
      </c>
    </row>
    <row r="391" spans="1:35" x14ac:dyDescent="0.2">
      <c r="A391" s="408"/>
      <c r="B391" s="405"/>
      <c r="C391" s="159"/>
      <c r="D391" s="159"/>
      <c r="E391" s="137">
        <v>2018</v>
      </c>
      <c r="F391" s="95">
        <f t="shared" si="28"/>
        <v>27.9</v>
      </c>
      <c r="G391" s="14"/>
      <c r="H391" s="14"/>
      <c r="I391" s="14">
        <v>27.9</v>
      </c>
      <c r="J391" s="14"/>
      <c r="K391" s="162"/>
      <c r="L391" s="125" t="s">
        <v>310</v>
      </c>
    </row>
    <row r="392" spans="1:35" x14ac:dyDescent="0.2">
      <c r="A392" s="408"/>
      <c r="B392" s="405"/>
      <c r="C392" s="159"/>
      <c r="D392" s="159"/>
      <c r="E392" s="137">
        <v>2019</v>
      </c>
      <c r="F392" s="95">
        <f t="shared" si="28"/>
        <v>29</v>
      </c>
      <c r="G392" s="14"/>
      <c r="H392" s="14"/>
      <c r="I392" s="14">
        <v>29</v>
      </c>
      <c r="J392" s="14"/>
      <c r="K392" s="162"/>
      <c r="L392" s="125" t="s">
        <v>310</v>
      </c>
    </row>
    <row r="393" spans="1:35" x14ac:dyDescent="0.2">
      <c r="A393" s="408"/>
      <c r="B393" s="405"/>
      <c r="C393" s="159"/>
      <c r="D393" s="159"/>
      <c r="E393" s="137">
        <v>2020</v>
      </c>
      <c r="F393" s="95">
        <f t="shared" si="28"/>
        <v>30</v>
      </c>
      <c r="G393" s="13"/>
      <c r="H393" s="13"/>
      <c r="I393" s="14">
        <v>30</v>
      </c>
      <c r="J393" s="13"/>
      <c r="K393" s="162"/>
    </row>
    <row r="394" spans="1:35" ht="13.5" thickBot="1" x14ac:dyDescent="0.25">
      <c r="A394" s="409"/>
      <c r="B394" s="406"/>
      <c r="C394" s="160"/>
      <c r="D394" s="187"/>
      <c r="E394" s="24" t="s">
        <v>18</v>
      </c>
      <c r="F394" s="20">
        <f>SUM(F388:F393)</f>
        <v>162.5</v>
      </c>
      <c r="G394" s="13"/>
      <c r="H394" s="13"/>
      <c r="I394" s="13">
        <f>SUM(I388:I393)</f>
        <v>162.5</v>
      </c>
      <c r="J394" s="13"/>
      <c r="K394" s="162"/>
    </row>
    <row r="395" spans="1:35" x14ac:dyDescent="0.2">
      <c r="A395" s="407" t="s">
        <v>83</v>
      </c>
      <c r="B395" s="404" t="s">
        <v>266</v>
      </c>
      <c r="C395" s="158" t="s">
        <v>84</v>
      </c>
      <c r="D395" s="161" t="s">
        <v>255</v>
      </c>
      <c r="E395" s="137">
        <v>2015</v>
      </c>
      <c r="F395" s="95">
        <f t="shared" ref="F395:F400" si="29">SUM(G395:I395)</f>
        <v>15</v>
      </c>
      <c r="G395" s="14"/>
      <c r="H395" s="14"/>
      <c r="I395" s="14">
        <v>15</v>
      </c>
      <c r="J395" s="14"/>
      <c r="K395" s="162"/>
    </row>
    <row r="396" spans="1:35" x14ac:dyDescent="0.2">
      <c r="A396" s="408"/>
      <c r="B396" s="405"/>
      <c r="C396" s="159"/>
      <c r="D396" s="159"/>
      <c r="E396" s="137">
        <v>2016</v>
      </c>
      <c r="F396" s="95">
        <f t="shared" si="29"/>
        <v>15</v>
      </c>
      <c r="G396" s="14"/>
      <c r="H396" s="14"/>
      <c r="I396" s="14">
        <f>16-1</f>
        <v>15</v>
      </c>
      <c r="J396" s="14"/>
      <c r="K396" s="162"/>
    </row>
    <row r="397" spans="1:35" x14ac:dyDescent="0.2">
      <c r="A397" s="408"/>
      <c r="B397" s="405"/>
      <c r="C397" s="159"/>
      <c r="D397" s="159"/>
      <c r="E397" s="137">
        <v>2017</v>
      </c>
      <c r="F397" s="95">
        <f t="shared" si="29"/>
        <v>16</v>
      </c>
      <c r="G397" s="14"/>
      <c r="H397" s="14"/>
      <c r="I397" s="14">
        <f>18-2</f>
        <v>16</v>
      </c>
      <c r="J397" s="14"/>
      <c r="K397" s="162"/>
      <c r="L397" s="125" t="s">
        <v>292</v>
      </c>
    </row>
    <row r="398" spans="1:35" x14ac:dyDescent="0.2">
      <c r="A398" s="408"/>
      <c r="B398" s="405"/>
      <c r="C398" s="159"/>
      <c r="D398" s="159"/>
      <c r="E398" s="137">
        <v>2018</v>
      </c>
      <c r="F398" s="95">
        <f t="shared" si="29"/>
        <v>19.5</v>
      </c>
      <c r="G398" s="14"/>
      <c r="H398" s="14"/>
      <c r="I398" s="14">
        <v>19.5</v>
      </c>
      <c r="J398" s="14"/>
      <c r="K398" s="162"/>
      <c r="L398" s="125" t="s">
        <v>310</v>
      </c>
    </row>
    <row r="399" spans="1:35" x14ac:dyDescent="0.2">
      <c r="A399" s="408"/>
      <c r="B399" s="405"/>
      <c r="C399" s="159"/>
      <c r="D399" s="159"/>
      <c r="E399" s="137">
        <v>2019</v>
      </c>
      <c r="F399" s="95">
        <f t="shared" si="29"/>
        <v>20.5</v>
      </c>
      <c r="G399" s="14"/>
      <c r="H399" s="14"/>
      <c r="I399" s="14">
        <v>20.5</v>
      </c>
      <c r="J399" s="14"/>
      <c r="K399" s="162"/>
      <c r="L399" s="125" t="s">
        <v>310</v>
      </c>
    </row>
    <row r="400" spans="1:35" x14ac:dyDescent="0.2">
      <c r="A400" s="408"/>
      <c r="B400" s="405"/>
      <c r="C400" s="159"/>
      <c r="D400" s="159"/>
      <c r="E400" s="137">
        <v>2020</v>
      </c>
      <c r="F400" s="95">
        <f t="shared" si="29"/>
        <v>22</v>
      </c>
      <c r="G400" s="13"/>
      <c r="H400" s="13"/>
      <c r="I400" s="14">
        <v>22</v>
      </c>
      <c r="J400" s="13"/>
      <c r="K400" s="162"/>
    </row>
    <row r="401" spans="1:12" ht="13.5" thickBot="1" x14ac:dyDescent="0.25">
      <c r="A401" s="409"/>
      <c r="B401" s="406"/>
      <c r="C401" s="160"/>
      <c r="D401" s="187"/>
      <c r="E401" s="24" t="s">
        <v>18</v>
      </c>
      <c r="F401" s="20">
        <f>SUM(F395:F400)</f>
        <v>108</v>
      </c>
      <c r="G401" s="13"/>
      <c r="H401" s="13"/>
      <c r="I401" s="13">
        <f>SUM(I395:I400)</f>
        <v>108</v>
      </c>
      <c r="J401" s="13"/>
      <c r="K401" s="165"/>
    </row>
    <row r="402" spans="1:12" ht="14.25" x14ac:dyDescent="0.2">
      <c r="A402" s="249" t="s">
        <v>93</v>
      </c>
      <c r="B402" s="193"/>
      <c r="C402" s="193"/>
      <c r="D402" s="193"/>
      <c r="E402" s="193"/>
      <c r="F402" s="193"/>
      <c r="G402" s="193"/>
      <c r="H402" s="193"/>
      <c r="I402" s="193"/>
      <c r="J402" s="193"/>
      <c r="K402" s="193"/>
    </row>
    <row r="403" spans="1:12" x14ac:dyDescent="0.2">
      <c r="A403" s="354" t="s">
        <v>53</v>
      </c>
      <c r="B403" s="357" t="s">
        <v>168</v>
      </c>
      <c r="C403" s="158" t="s">
        <v>84</v>
      </c>
      <c r="D403" s="161" t="s">
        <v>255</v>
      </c>
      <c r="E403" s="137">
        <v>2015</v>
      </c>
      <c r="F403" s="95">
        <f t="shared" ref="F403:F408" si="30">SUM(G403:I403)</f>
        <v>10</v>
      </c>
      <c r="G403" s="14"/>
      <c r="H403" s="14"/>
      <c r="I403" s="14">
        <v>10</v>
      </c>
      <c r="J403" s="14"/>
      <c r="K403" s="161" t="s">
        <v>202</v>
      </c>
    </row>
    <row r="404" spans="1:12" x14ac:dyDescent="0.2">
      <c r="A404" s="355"/>
      <c r="B404" s="209"/>
      <c r="C404" s="159"/>
      <c r="D404" s="159"/>
      <c r="E404" s="137">
        <v>2016</v>
      </c>
      <c r="F404" s="95">
        <f t="shared" si="30"/>
        <v>7.7</v>
      </c>
      <c r="G404" s="14"/>
      <c r="H404" s="14"/>
      <c r="I404" s="14">
        <f>11-3.3</f>
        <v>7.7</v>
      </c>
      <c r="J404" s="14"/>
      <c r="K404" s="162"/>
    </row>
    <row r="405" spans="1:12" x14ac:dyDescent="0.2">
      <c r="A405" s="355"/>
      <c r="B405" s="209"/>
      <c r="C405" s="159"/>
      <c r="D405" s="159"/>
      <c r="E405" s="137">
        <v>2017</v>
      </c>
      <c r="F405" s="95">
        <f t="shared" si="30"/>
        <v>8.6999999999999993</v>
      </c>
      <c r="G405" s="14"/>
      <c r="H405" s="14"/>
      <c r="I405" s="14">
        <f>12-3.3</f>
        <v>8.6999999999999993</v>
      </c>
      <c r="J405" s="14"/>
      <c r="K405" s="162"/>
      <c r="L405" s="125" t="s">
        <v>292</v>
      </c>
    </row>
    <row r="406" spans="1:12" x14ac:dyDescent="0.2">
      <c r="A406" s="355"/>
      <c r="B406" s="209"/>
      <c r="C406" s="159"/>
      <c r="D406" s="159"/>
      <c r="E406" s="137">
        <v>2018</v>
      </c>
      <c r="F406" s="95">
        <f t="shared" si="30"/>
        <v>13</v>
      </c>
      <c r="G406" s="14"/>
      <c r="H406" s="14"/>
      <c r="I406" s="14">
        <v>13</v>
      </c>
      <c r="J406" s="14"/>
      <c r="K406" s="162"/>
      <c r="L406" s="125" t="s">
        <v>310</v>
      </c>
    </row>
    <row r="407" spans="1:12" x14ac:dyDescent="0.2">
      <c r="A407" s="355"/>
      <c r="B407" s="209"/>
      <c r="C407" s="159"/>
      <c r="D407" s="159"/>
      <c r="E407" s="137">
        <v>2019</v>
      </c>
      <c r="F407" s="95">
        <f t="shared" si="30"/>
        <v>14</v>
      </c>
      <c r="G407" s="14"/>
      <c r="H407" s="14"/>
      <c r="I407" s="14">
        <v>14</v>
      </c>
      <c r="J407" s="14"/>
      <c r="K407" s="162"/>
      <c r="L407" s="125" t="s">
        <v>310</v>
      </c>
    </row>
    <row r="408" spans="1:12" x14ac:dyDescent="0.2">
      <c r="A408" s="355"/>
      <c r="B408" s="209"/>
      <c r="C408" s="159"/>
      <c r="D408" s="159"/>
      <c r="E408" s="137">
        <v>2020</v>
      </c>
      <c r="F408" s="95">
        <f t="shared" si="30"/>
        <v>15</v>
      </c>
      <c r="G408" s="14"/>
      <c r="H408" s="14"/>
      <c r="I408" s="14">
        <v>15</v>
      </c>
      <c r="J408" s="14"/>
      <c r="K408" s="162"/>
    </row>
    <row r="409" spans="1:12" ht="18" customHeight="1" thickBot="1" x14ac:dyDescent="0.25">
      <c r="A409" s="356"/>
      <c r="B409" s="189"/>
      <c r="C409" s="159"/>
      <c r="D409" s="159"/>
      <c r="E409" s="32" t="s">
        <v>18</v>
      </c>
      <c r="F409" s="17">
        <f>SUM(F403:F408)</f>
        <v>68.400000000000006</v>
      </c>
      <c r="G409" s="51"/>
      <c r="H409" s="51"/>
      <c r="I409" s="51">
        <f>SUM(I403:I408)</f>
        <v>68.400000000000006</v>
      </c>
      <c r="J409" s="28"/>
      <c r="K409" s="162"/>
    </row>
    <row r="410" spans="1:12" ht="26.25" thickBot="1" x14ac:dyDescent="0.25">
      <c r="A410" s="350" t="s">
        <v>232</v>
      </c>
      <c r="B410" s="351"/>
      <c r="C410" s="351"/>
      <c r="D410" s="351"/>
      <c r="E410" s="118" t="s">
        <v>75</v>
      </c>
      <c r="F410" s="119">
        <f>F394+F409+F401</f>
        <v>338.9</v>
      </c>
      <c r="G410" s="119">
        <f>G394+G409+G401</f>
        <v>0</v>
      </c>
      <c r="H410" s="119">
        <f>H394+H409+H401</f>
        <v>0</v>
      </c>
      <c r="I410" s="119">
        <f>I394+I409+I401</f>
        <v>338.9</v>
      </c>
      <c r="J410" s="120"/>
      <c r="K410" s="121"/>
    </row>
    <row r="411" spans="1:12" ht="15" thickBot="1" x14ac:dyDescent="0.25">
      <c r="A411" s="194" t="s">
        <v>233</v>
      </c>
      <c r="B411" s="352"/>
      <c r="C411" s="352"/>
      <c r="D411" s="352"/>
      <c r="E411" s="352"/>
      <c r="F411" s="352"/>
      <c r="G411" s="352"/>
      <c r="H411" s="352"/>
      <c r="I411" s="352"/>
      <c r="J411" s="352"/>
      <c r="K411" s="353"/>
    </row>
    <row r="412" spans="1:12" ht="14.25" x14ac:dyDescent="0.2">
      <c r="A412" s="358" t="s">
        <v>94</v>
      </c>
      <c r="B412" s="359"/>
      <c r="C412" s="359"/>
      <c r="D412" s="359"/>
      <c r="E412" s="360"/>
      <c r="F412" s="360"/>
      <c r="G412" s="360"/>
      <c r="H412" s="360"/>
      <c r="I412" s="360"/>
      <c r="J412" s="360"/>
      <c r="K412" s="361"/>
    </row>
    <row r="413" spans="1:12" x14ac:dyDescent="0.2">
      <c r="A413" s="362" t="s">
        <v>95</v>
      </c>
      <c r="B413" s="175" t="s">
        <v>96</v>
      </c>
      <c r="C413" s="158" t="s">
        <v>84</v>
      </c>
      <c r="D413" s="161" t="s">
        <v>255</v>
      </c>
      <c r="E413" s="137">
        <v>2015</v>
      </c>
      <c r="F413" s="95">
        <f t="shared" ref="F413:F418" si="31">SUM(G413:I413)</f>
        <v>50</v>
      </c>
      <c r="G413" s="14"/>
      <c r="H413" s="14"/>
      <c r="I413" s="14">
        <v>50</v>
      </c>
      <c r="J413" s="14"/>
      <c r="K413" s="161" t="s">
        <v>205</v>
      </c>
    </row>
    <row r="414" spans="1:12" x14ac:dyDescent="0.2">
      <c r="A414" s="363"/>
      <c r="B414" s="193"/>
      <c r="C414" s="159"/>
      <c r="D414" s="159"/>
      <c r="E414" s="137">
        <v>2016</v>
      </c>
      <c r="F414" s="95">
        <f t="shared" si="31"/>
        <v>83</v>
      </c>
      <c r="G414" s="14"/>
      <c r="H414" s="14"/>
      <c r="I414" s="14">
        <f>60+23</f>
        <v>83</v>
      </c>
      <c r="J414" s="14"/>
      <c r="K414" s="162"/>
      <c r="L414" s="125" t="s">
        <v>331</v>
      </c>
    </row>
    <row r="415" spans="1:12" x14ac:dyDescent="0.2">
      <c r="A415" s="363"/>
      <c r="B415" s="193"/>
      <c r="C415" s="159"/>
      <c r="D415" s="159"/>
      <c r="E415" s="137">
        <v>2017</v>
      </c>
      <c r="F415" s="95">
        <f t="shared" si="31"/>
        <v>70</v>
      </c>
      <c r="G415" s="14"/>
      <c r="H415" s="14"/>
      <c r="I415" s="14">
        <v>70</v>
      </c>
      <c r="J415" s="14"/>
      <c r="K415" s="162"/>
      <c r="L415" s="125" t="s">
        <v>310</v>
      </c>
    </row>
    <row r="416" spans="1:12" x14ac:dyDescent="0.2">
      <c r="A416" s="363"/>
      <c r="B416" s="193"/>
      <c r="C416" s="159"/>
      <c r="D416" s="159"/>
      <c r="E416" s="137">
        <v>2018</v>
      </c>
      <c r="F416" s="95">
        <f t="shared" si="31"/>
        <v>80</v>
      </c>
      <c r="G416" s="14"/>
      <c r="H416" s="14"/>
      <c r="I416" s="14">
        <v>80</v>
      </c>
      <c r="J416" s="14"/>
      <c r="K416" s="162"/>
      <c r="L416" s="125" t="s">
        <v>310</v>
      </c>
    </row>
    <row r="417" spans="1:12" x14ac:dyDescent="0.2">
      <c r="A417" s="363"/>
      <c r="B417" s="193"/>
      <c r="C417" s="159"/>
      <c r="D417" s="159"/>
      <c r="E417" s="137">
        <v>2019</v>
      </c>
      <c r="F417" s="95">
        <f t="shared" si="31"/>
        <v>90</v>
      </c>
      <c r="G417" s="14"/>
      <c r="H417" s="14"/>
      <c r="I417" s="14">
        <v>90</v>
      </c>
      <c r="J417" s="14"/>
      <c r="K417" s="162"/>
      <c r="L417" s="125" t="s">
        <v>310</v>
      </c>
    </row>
    <row r="418" spans="1:12" x14ac:dyDescent="0.2">
      <c r="A418" s="363"/>
      <c r="B418" s="193"/>
      <c r="C418" s="159"/>
      <c r="D418" s="159"/>
      <c r="E418" s="137">
        <v>2020</v>
      </c>
      <c r="F418" s="95">
        <f t="shared" si="31"/>
        <v>100</v>
      </c>
      <c r="G418" s="14"/>
      <c r="H418" s="14"/>
      <c r="I418" s="14">
        <v>100</v>
      </c>
      <c r="J418" s="14"/>
      <c r="K418" s="162"/>
    </row>
    <row r="419" spans="1:12" ht="13.5" thickBot="1" x14ac:dyDescent="0.25">
      <c r="A419" s="363"/>
      <c r="B419" s="200"/>
      <c r="C419" s="160"/>
      <c r="D419" s="187"/>
      <c r="E419" s="32" t="s">
        <v>18</v>
      </c>
      <c r="F419" s="20">
        <f>SUM(F413:F418)</f>
        <v>473</v>
      </c>
      <c r="G419" s="13"/>
      <c r="H419" s="13"/>
      <c r="I419" s="13">
        <f>SUM(I413:I418)</f>
        <v>473</v>
      </c>
      <c r="J419" s="14"/>
      <c r="K419" s="162"/>
    </row>
    <row r="420" spans="1:12" x14ac:dyDescent="0.2">
      <c r="A420" s="362" t="s">
        <v>97</v>
      </c>
      <c r="B420" s="175" t="s">
        <v>98</v>
      </c>
      <c r="C420" s="158" t="s">
        <v>84</v>
      </c>
      <c r="D420" s="161" t="s">
        <v>255</v>
      </c>
      <c r="E420" s="137">
        <v>2015</v>
      </c>
      <c r="F420" s="79">
        <f t="shared" ref="F420:F425" si="32">SUM(G420:I420)</f>
        <v>150</v>
      </c>
      <c r="G420" s="14"/>
      <c r="H420" s="14"/>
      <c r="I420" s="14">
        <v>150</v>
      </c>
      <c r="J420" s="14"/>
      <c r="K420" s="162"/>
    </row>
    <row r="421" spans="1:12" x14ac:dyDescent="0.2">
      <c r="A421" s="363"/>
      <c r="B421" s="175"/>
      <c r="C421" s="159"/>
      <c r="D421" s="159"/>
      <c r="E421" s="137">
        <v>2016</v>
      </c>
      <c r="F421" s="79">
        <f t="shared" si="32"/>
        <v>180</v>
      </c>
      <c r="G421" s="14"/>
      <c r="H421" s="14"/>
      <c r="I421" s="14">
        <v>180</v>
      </c>
      <c r="J421" s="14"/>
      <c r="K421" s="162"/>
    </row>
    <row r="422" spans="1:12" x14ac:dyDescent="0.2">
      <c r="A422" s="363"/>
      <c r="B422" s="175"/>
      <c r="C422" s="159"/>
      <c r="D422" s="159"/>
      <c r="E422" s="137">
        <v>2017</v>
      </c>
      <c r="F422" s="79">
        <f t="shared" si="32"/>
        <v>200</v>
      </c>
      <c r="G422" s="14"/>
      <c r="H422" s="14"/>
      <c r="I422" s="14">
        <f>220-20</f>
        <v>200</v>
      </c>
      <c r="J422" s="14"/>
      <c r="K422" s="162"/>
      <c r="L422" s="125" t="s">
        <v>292</v>
      </c>
    </row>
    <row r="423" spans="1:12" x14ac:dyDescent="0.2">
      <c r="A423" s="363"/>
      <c r="B423" s="175"/>
      <c r="C423" s="159"/>
      <c r="D423" s="159"/>
      <c r="E423" s="137">
        <v>2018</v>
      </c>
      <c r="F423" s="79">
        <f t="shared" si="32"/>
        <v>240</v>
      </c>
      <c r="G423" s="14"/>
      <c r="H423" s="14"/>
      <c r="I423" s="14">
        <v>240</v>
      </c>
      <c r="J423" s="14"/>
      <c r="K423" s="162"/>
      <c r="L423" s="125" t="s">
        <v>310</v>
      </c>
    </row>
    <row r="424" spans="1:12" x14ac:dyDescent="0.2">
      <c r="A424" s="363"/>
      <c r="B424" s="175"/>
      <c r="C424" s="159"/>
      <c r="D424" s="159"/>
      <c r="E424" s="137">
        <v>2019</v>
      </c>
      <c r="F424" s="79">
        <f t="shared" si="32"/>
        <v>260</v>
      </c>
      <c r="G424" s="14"/>
      <c r="H424" s="14"/>
      <c r="I424" s="14">
        <v>260</v>
      </c>
      <c r="J424" s="14"/>
      <c r="K424" s="162"/>
      <c r="L424" s="125" t="s">
        <v>310</v>
      </c>
    </row>
    <row r="425" spans="1:12" x14ac:dyDescent="0.2">
      <c r="A425" s="363"/>
      <c r="B425" s="175"/>
      <c r="C425" s="159"/>
      <c r="D425" s="159"/>
      <c r="E425" s="137">
        <v>2020</v>
      </c>
      <c r="F425" s="79">
        <f t="shared" si="32"/>
        <v>270</v>
      </c>
      <c r="G425" s="14"/>
      <c r="H425" s="14"/>
      <c r="I425" s="14">
        <v>270</v>
      </c>
      <c r="J425" s="14"/>
      <c r="K425" s="162"/>
    </row>
    <row r="426" spans="1:12" ht="32.25" customHeight="1" thickBot="1" x14ac:dyDescent="0.25">
      <c r="A426" s="363"/>
      <c r="B426" s="200"/>
      <c r="C426" s="160"/>
      <c r="D426" s="187"/>
      <c r="E426" s="24" t="s">
        <v>18</v>
      </c>
      <c r="F426" s="101">
        <f>SUM(F420:F425)</f>
        <v>1300</v>
      </c>
      <c r="G426" s="13"/>
      <c r="H426" s="13"/>
      <c r="I426" s="13">
        <f>SUM(I420:I425)</f>
        <v>1300</v>
      </c>
      <c r="J426" s="14"/>
      <c r="K426" s="162"/>
    </row>
    <row r="427" spans="1:12" x14ac:dyDescent="0.2">
      <c r="A427" s="362" t="s">
        <v>99</v>
      </c>
      <c r="B427" s="175" t="s">
        <v>204</v>
      </c>
      <c r="C427" s="158" t="s">
        <v>84</v>
      </c>
      <c r="D427" s="161" t="s">
        <v>255</v>
      </c>
      <c r="E427" s="137">
        <v>2015</v>
      </c>
      <c r="F427" s="79">
        <f t="shared" ref="F427:F432" si="33">SUM(G427:I427)</f>
        <v>55</v>
      </c>
      <c r="G427" s="14"/>
      <c r="H427" s="14"/>
      <c r="I427" s="14">
        <v>55</v>
      </c>
      <c r="J427" s="14"/>
      <c r="K427" s="162"/>
    </row>
    <row r="428" spans="1:12" x14ac:dyDescent="0.2">
      <c r="A428" s="363"/>
      <c r="B428" s="175"/>
      <c r="C428" s="159"/>
      <c r="D428" s="159"/>
      <c r="E428" s="137">
        <v>2016</v>
      </c>
      <c r="F428" s="79">
        <f t="shared" si="33"/>
        <v>57.4</v>
      </c>
      <c r="G428" s="14"/>
      <c r="H428" s="14"/>
      <c r="I428" s="14">
        <f>60-2.6</f>
        <v>57.4</v>
      </c>
      <c r="J428" s="14"/>
      <c r="K428" s="162"/>
    </row>
    <row r="429" spans="1:12" x14ac:dyDescent="0.2">
      <c r="A429" s="363"/>
      <c r="B429" s="175"/>
      <c r="C429" s="159"/>
      <c r="D429" s="159"/>
      <c r="E429" s="137">
        <v>2017</v>
      </c>
      <c r="F429" s="79">
        <f t="shared" si="33"/>
        <v>65</v>
      </c>
      <c r="G429" s="14"/>
      <c r="H429" s="14"/>
      <c r="I429" s="14">
        <v>65</v>
      </c>
      <c r="J429" s="14"/>
      <c r="K429" s="162"/>
      <c r="L429" s="125" t="s">
        <v>310</v>
      </c>
    </row>
    <row r="430" spans="1:12" x14ac:dyDescent="0.2">
      <c r="A430" s="363"/>
      <c r="B430" s="175"/>
      <c r="C430" s="159"/>
      <c r="D430" s="159"/>
      <c r="E430" s="137">
        <v>2018</v>
      </c>
      <c r="F430" s="79">
        <f t="shared" si="33"/>
        <v>70</v>
      </c>
      <c r="G430" s="14"/>
      <c r="H430" s="14"/>
      <c r="I430" s="14">
        <v>70</v>
      </c>
      <c r="J430" s="14"/>
      <c r="K430" s="162"/>
      <c r="L430" s="125" t="s">
        <v>310</v>
      </c>
    </row>
    <row r="431" spans="1:12" x14ac:dyDescent="0.2">
      <c r="A431" s="363"/>
      <c r="B431" s="175"/>
      <c r="C431" s="159"/>
      <c r="D431" s="159"/>
      <c r="E431" s="137">
        <v>2019</v>
      </c>
      <c r="F431" s="79">
        <f t="shared" si="33"/>
        <v>75</v>
      </c>
      <c r="G431" s="14"/>
      <c r="H431" s="14"/>
      <c r="I431" s="14">
        <v>75</v>
      </c>
      <c r="J431" s="14"/>
      <c r="K431" s="162"/>
      <c r="L431" s="125" t="s">
        <v>310</v>
      </c>
    </row>
    <row r="432" spans="1:12" x14ac:dyDescent="0.2">
      <c r="A432" s="363"/>
      <c r="B432" s="175"/>
      <c r="C432" s="159"/>
      <c r="D432" s="159"/>
      <c r="E432" s="137">
        <v>2020</v>
      </c>
      <c r="F432" s="79">
        <f t="shared" si="33"/>
        <v>80</v>
      </c>
      <c r="G432" s="14"/>
      <c r="H432" s="14"/>
      <c r="I432" s="14">
        <v>80</v>
      </c>
      <c r="J432" s="14"/>
      <c r="K432" s="162"/>
    </row>
    <row r="433" spans="1:12" ht="13.5" thickBot="1" x14ac:dyDescent="0.25">
      <c r="A433" s="363"/>
      <c r="B433" s="214"/>
      <c r="C433" s="160"/>
      <c r="D433" s="187"/>
      <c r="E433" s="24" t="s">
        <v>18</v>
      </c>
      <c r="F433" s="21">
        <f>SUM(F427:F432)</f>
        <v>402.4</v>
      </c>
      <c r="G433" s="13"/>
      <c r="H433" s="13"/>
      <c r="I433" s="13">
        <f>SUM(I427:I432)</f>
        <v>402.4</v>
      </c>
      <c r="J433" s="14"/>
      <c r="K433" s="165"/>
    </row>
    <row r="434" spans="1:12" x14ac:dyDescent="0.2">
      <c r="A434" s="362" t="s">
        <v>100</v>
      </c>
      <c r="B434" s="175" t="s">
        <v>101</v>
      </c>
      <c r="C434" s="158" t="s">
        <v>84</v>
      </c>
      <c r="D434" s="161" t="s">
        <v>255</v>
      </c>
      <c r="E434" s="137">
        <v>2015</v>
      </c>
      <c r="F434" s="79">
        <f t="shared" ref="F434:F439" si="34">SUM(G434:I434)</f>
        <v>50</v>
      </c>
      <c r="G434" s="14"/>
      <c r="H434" s="14"/>
      <c r="I434" s="14">
        <v>50</v>
      </c>
      <c r="J434" s="14"/>
      <c r="K434" s="161" t="s">
        <v>206</v>
      </c>
    </row>
    <row r="435" spans="1:12" x14ac:dyDescent="0.2">
      <c r="A435" s="363"/>
      <c r="B435" s="193"/>
      <c r="C435" s="159"/>
      <c r="D435" s="159"/>
      <c r="E435" s="137">
        <v>2016</v>
      </c>
      <c r="F435" s="79">
        <f t="shared" si="34"/>
        <v>32</v>
      </c>
      <c r="G435" s="14"/>
      <c r="H435" s="14"/>
      <c r="I435" s="14">
        <f>55-23</f>
        <v>32</v>
      </c>
      <c r="J435" s="14"/>
      <c r="K435" s="162"/>
      <c r="L435" s="125" t="s">
        <v>332</v>
      </c>
    </row>
    <row r="436" spans="1:12" x14ac:dyDescent="0.2">
      <c r="A436" s="363"/>
      <c r="B436" s="193"/>
      <c r="C436" s="159"/>
      <c r="D436" s="159"/>
      <c r="E436" s="137">
        <v>2017</v>
      </c>
      <c r="F436" s="79">
        <f t="shared" si="34"/>
        <v>41.4</v>
      </c>
      <c r="G436" s="14"/>
      <c r="H436" s="14"/>
      <c r="I436" s="14">
        <f>60-18.6</f>
        <v>41.4</v>
      </c>
      <c r="J436" s="14"/>
      <c r="K436" s="162"/>
      <c r="L436" s="125" t="s">
        <v>292</v>
      </c>
    </row>
    <row r="437" spans="1:12" x14ac:dyDescent="0.2">
      <c r="A437" s="363"/>
      <c r="B437" s="193"/>
      <c r="C437" s="159"/>
      <c r="D437" s="159"/>
      <c r="E437" s="137">
        <v>2018</v>
      </c>
      <c r="F437" s="79">
        <f t="shared" si="34"/>
        <v>65</v>
      </c>
      <c r="G437" s="14"/>
      <c r="H437" s="14"/>
      <c r="I437" s="14">
        <v>65</v>
      </c>
      <c r="J437" s="14"/>
      <c r="K437" s="162"/>
      <c r="L437" s="125" t="s">
        <v>310</v>
      </c>
    </row>
    <row r="438" spans="1:12" x14ac:dyDescent="0.2">
      <c r="A438" s="363"/>
      <c r="B438" s="193"/>
      <c r="C438" s="159"/>
      <c r="D438" s="159"/>
      <c r="E438" s="137">
        <v>2019</v>
      </c>
      <c r="F438" s="79">
        <f t="shared" si="34"/>
        <v>70</v>
      </c>
      <c r="G438" s="14"/>
      <c r="H438" s="14"/>
      <c r="I438" s="14">
        <v>70</v>
      </c>
      <c r="J438" s="14"/>
      <c r="K438" s="162"/>
      <c r="L438" s="125" t="s">
        <v>310</v>
      </c>
    </row>
    <row r="439" spans="1:12" x14ac:dyDescent="0.2">
      <c r="A439" s="363"/>
      <c r="B439" s="193"/>
      <c r="C439" s="159"/>
      <c r="D439" s="159"/>
      <c r="E439" s="137">
        <v>2020</v>
      </c>
      <c r="F439" s="79">
        <f t="shared" si="34"/>
        <v>75</v>
      </c>
      <c r="G439" s="14"/>
      <c r="H439" s="14"/>
      <c r="I439" s="14">
        <v>75</v>
      </c>
      <c r="J439" s="14"/>
      <c r="K439" s="162"/>
    </row>
    <row r="440" spans="1:12" ht="13.5" thickBot="1" x14ac:dyDescent="0.25">
      <c r="A440" s="363"/>
      <c r="B440" s="193"/>
      <c r="C440" s="160"/>
      <c r="D440" s="187"/>
      <c r="E440" s="24" t="s">
        <v>18</v>
      </c>
      <c r="F440" s="21">
        <f>SUM(F434:F439)</f>
        <v>333.4</v>
      </c>
      <c r="G440" s="14"/>
      <c r="H440" s="14"/>
      <c r="I440" s="13">
        <f>SUM(I434:I439)</f>
        <v>333.4</v>
      </c>
      <c r="J440" s="14"/>
      <c r="K440" s="165"/>
    </row>
    <row r="441" spans="1:12" ht="16.5" customHeight="1" thickBot="1" x14ac:dyDescent="0.25">
      <c r="A441" s="188" t="s">
        <v>234</v>
      </c>
      <c r="B441" s="189"/>
      <c r="C441" s="189"/>
      <c r="D441" s="189"/>
      <c r="E441" s="6" t="s">
        <v>75</v>
      </c>
      <c r="F441" s="17">
        <f>F419+F426+F433+F440</f>
        <v>2508.8000000000002</v>
      </c>
      <c r="G441" s="17">
        <f>G419+G426+G433+G440</f>
        <v>0</v>
      </c>
      <c r="H441" s="17">
        <f>H419+H426+H433+H440</f>
        <v>0</v>
      </c>
      <c r="I441" s="17">
        <f>I419+I426+I433+I440</f>
        <v>2508.8000000000002</v>
      </c>
      <c r="J441" s="19"/>
      <c r="K441" s="6"/>
    </row>
    <row r="442" spans="1:12" ht="15" thickBot="1" x14ac:dyDescent="0.25">
      <c r="A442" s="194" t="s">
        <v>235</v>
      </c>
      <c r="B442" s="352"/>
      <c r="C442" s="352"/>
      <c r="D442" s="352"/>
      <c r="E442" s="352"/>
      <c r="F442" s="352"/>
      <c r="G442" s="352"/>
      <c r="H442" s="352"/>
      <c r="I442" s="352"/>
      <c r="J442" s="352"/>
      <c r="K442" s="353"/>
    </row>
    <row r="443" spans="1:12" ht="14.25" x14ac:dyDescent="0.2">
      <c r="A443" s="358" t="s">
        <v>102</v>
      </c>
      <c r="B443" s="359"/>
      <c r="C443" s="359"/>
      <c r="D443" s="359"/>
      <c r="E443" s="360"/>
      <c r="F443" s="360"/>
      <c r="G443" s="360"/>
      <c r="H443" s="360"/>
      <c r="I443" s="360"/>
      <c r="J443" s="360"/>
      <c r="K443" s="361"/>
    </row>
    <row r="444" spans="1:12" ht="12.75" customHeight="1" x14ac:dyDescent="0.2">
      <c r="A444" s="366" t="s">
        <v>120</v>
      </c>
      <c r="B444" s="156" t="s">
        <v>103</v>
      </c>
      <c r="C444" s="158" t="s">
        <v>84</v>
      </c>
      <c r="D444" s="161" t="s">
        <v>255</v>
      </c>
      <c r="E444" s="137">
        <v>2015</v>
      </c>
      <c r="F444" s="79">
        <f t="shared" ref="F444:F449" si="35">SUM(G444:I444)</f>
        <v>3623.3</v>
      </c>
      <c r="G444" s="14"/>
      <c r="H444" s="14">
        <f>3817-230</f>
        <v>3587</v>
      </c>
      <c r="I444" s="14">
        <f>38.6-2.3</f>
        <v>36.300000000000004</v>
      </c>
      <c r="J444" s="14"/>
      <c r="K444" s="161" t="s">
        <v>207</v>
      </c>
    </row>
    <row r="445" spans="1:12" x14ac:dyDescent="0.2">
      <c r="A445" s="367"/>
      <c r="B445" s="232"/>
      <c r="C445" s="159"/>
      <c r="D445" s="159"/>
      <c r="E445" s="137">
        <v>2016</v>
      </c>
      <c r="F445" s="79">
        <f t="shared" si="35"/>
        <v>27.8</v>
      </c>
      <c r="G445" s="14"/>
      <c r="H445" s="14">
        <v>0</v>
      </c>
      <c r="I445" s="14">
        <v>27.8</v>
      </c>
      <c r="J445" s="14"/>
      <c r="K445" s="162"/>
    </row>
    <row r="446" spans="1:12" x14ac:dyDescent="0.2">
      <c r="A446" s="367"/>
      <c r="B446" s="232"/>
      <c r="C446" s="159"/>
      <c r="D446" s="159"/>
      <c r="E446" s="137">
        <v>2017</v>
      </c>
      <c r="F446" s="79">
        <f t="shared" si="35"/>
        <v>0</v>
      </c>
      <c r="G446" s="14"/>
      <c r="H446" s="14">
        <f>2740-2740</f>
        <v>0</v>
      </c>
      <c r="I446" s="14">
        <f>27.6-27.6</f>
        <v>0</v>
      </c>
      <c r="J446" s="14"/>
      <c r="K446" s="162"/>
      <c r="L446" s="125" t="s">
        <v>307</v>
      </c>
    </row>
    <row r="447" spans="1:12" x14ac:dyDescent="0.2">
      <c r="A447" s="367"/>
      <c r="B447" s="232"/>
      <c r="C447" s="159"/>
      <c r="D447" s="159"/>
      <c r="E447" s="137">
        <v>2018</v>
      </c>
      <c r="F447" s="79">
        <f t="shared" si="35"/>
        <v>16.2</v>
      </c>
      <c r="G447" s="14"/>
      <c r="H447" s="14">
        <f>1605-1605</f>
        <v>0</v>
      </c>
      <c r="I447" s="14">
        <v>16.2</v>
      </c>
      <c r="J447" s="14"/>
      <c r="K447" s="162"/>
      <c r="L447" s="125" t="s">
        <v>311</v>
      </c>
    </row>
    <row r="448" spans="1:12" x14ac:dyDescent="0.2">
      <c r="A448" s="367"/>
      <c r="B448" s="232"/>
      <c r="C448" s="159"/>
      <c r="D448" s="159"/>
      <c r="E448" s="137">
        <v>2019</v>
      </c>
      <c r="F448" s="79">
        <f t="shared" si="35"/>
        <v>14.8</v>
      </c>
      <c r="G448" s="14"/>
      <c r="H448" s="14">
        <f>1469-1469</f>
        <v>0</v>
      </c>
      <c r="I448" s="14">
        <v>14.8</v>
      </c>
      <c r="J448" s="14"/>
      <c r="K448" s="162"/>
      <c r="L448" s="125" t="s">
        <v>311</v>
      </c>
    </row>
    <row r="449" spans="1:35" x14ac:dyDescent="0.2">
      <c r="A449" s="367"/>
      <c r="B449" s="232"/>
      <c r="C449" s="159"/>
      <c r="D449" s="159"/>
      <c r="E449" s="137">
        <v>2020</v>
      </c>
      <c r="F449" s="79">
        <f t="shared" si="35"/>
        <v>1613.1</v>
      </c>
      <c r="G449" s="14"/>
      <c r="H449" s="14">
        <v>1597</v>
      </c>
      <c r="I449" s="14">
        <v>16.100000000000001</v>
      </c>
      <c r="J449" s="14"/>
      <c r="K449" s="162"/>
    </row>
    <row r="450" spans="1:35" ht="13.5" thickBot="1" x14ac:dyDescent="0.25">
      <c r="A450" s="368"/>
      <c r="B450" s="232"/>
      <c r="C450" s="160"/>
      <c r="D450" s="187"/>
      <c r="E450" s="24" t="s">
        <v>18</v>
      </c>
      <c r="F450" s="21">
        <f>SUM(F444:F449)</f>
        <v>5295.2000000000007</v>
      </c>
      <c r="G450" s="13"/>
      <c r="H450" s="13">
        <f>SUM(H444:H449)</f>
        <v>5184</v>
      </c>
      <c r="I450" s="13">
        <f>SUM(I444:I449)</f>
        <v>111.20000000000002</v>
      </c>
      <c r="J450" s="14"/>
      <c r="K450" s="165"/>
    </row>
    <row r="451" spans="1:35" ht="26.25" thickBot="1" x14ac:dyDescent="0.25">
      <c r="A451" s="188" t="s">
        <v>236</v>
      </c>
      <c r="B451" s="189"/>
      <c r="C451" s="189"/>
      <c r="D451" s="189"/>
      <c r="E451" s="6" t="s">
        <v>75</v>
      </c>
      <c r="F451" s="21">
        <f>SUM(F444:F449)</f>
        <v>5295.2000000000007</v>
      </c>
      <c r="G451" s="19"/>
      <c r="H451" s="13">
        <f>SUM(H444:H449)</f>
        <v>5184</v>
      </c>
      <c r="I451" s="13">
        <f>SUM(I444:I449)</f>
        <v>111.20000000000002</v>
      </c>
      <c r="J451" s="19"/>
      <c r="K451" s="6"/>
    </row>
    <row r="452" spans="1:35" ht="47.25" x14ac:dyDescent="0.25">
      <c r="A452" s="281" t="s">
        <v>238</v>
      </c>
      <c r="B452" s="364"/>
      <c r="C452" s="364"/>
      <c r="D452" s="365"/>
      <c r="E452" s="100" t="s">
        <v>75</v>
      </c>
      <c r="F452" s="100" t="s">
        <v>18</v>
      </c>
      <c r="G452" s="102" t="s">
        <v>10</v>
      </c>
      <c r="H452" s="103" t="s">
        <v>11</v>
      </c>
      <c r="I452" s="103" t="s">
        <v>12</v>
      </c>
      <c r="J452" s="103" t="s">
        <v>13</v>
      </c>
      <c r="K452" s="58"/>
      <c r="L452" s="75"/>
      <c r="M452" s="75"/>
      <c r="N452" s="75"/>
    </row>
    <row r="453" spans="1:35" ht="15.75" x14ac:dyDescent="0.25">
      <c r="A453" s="146"/>
      <c r="B453" s="147"/>
      <c r="C453" s="147"/>
      <c r="D453" s="148"/>
      <c r="E453" s="106"/>
      <c r="F453" s="23">
        <f>SUM(G453:J453)</f>
        <v>316654.09999999998</v>
      </c>
      <c r="G453" s="23"/>
      <c r="H453" s="11">
        <f>H451+H441+H410+H385+H340</f>
        <v>5414</v>
      </c>
      <c r="I453" s="11">
        <f>I451+I441+I410+I385</f>
        <v>308025.09999999998</v>
      </c>
      <c r="J453" s="11">
        <f>J451+J441+J410+J385</f>
        <v>3215</v>
      </c>
      <c r="K453" s="58"/>
      <c r="L453" s="42"/>
      <c r="M453" s="42"/>
      <c r="N453" s="42"/>
    </row>
    <row r="454" spans="1:35" ht="18.75" customHeight="1" thickBot="1" x14ac:dyDescent="0.25">
      <c r="A454" s="401" t="s">
        <v>239</v>
      </c>
      <c r="B454" s="402"/>
      <c r="C454" s="402"/>
      <c r="D454" s="402"/>
      <c r="E454" s="402"/>
      <c r="F454" s="402"/>
      <c r="G454" s="402"/>
      <c r="H454" s="402"/>
      <c r="I454" s="402"/>
      <c r="J454" s="402"/>
      <c r="K454" s="403"/>
      <c r="L454" s="76"/>
      <c r="M454" s="76"/>
      <c r="N454" s="76"/>
    </row>
    <row r="455" spans="1:35" ht="30" customHeight="1" x14ac:dyDescent="0.2">
      <c r="A455" s="249" t="s">
        <v>240</v>
      </c>
      <c r="B455" s="200"/>
      <c r="C455" s="200"/>
      <c r="D455" s="200"/>
      <c r="E455" s="193"/>
      <c r="F455" s="193"/>
      <c r="G455" s="193"/>
      <c r="H455" s="193"/>
      <c r="I455" s="193"/>
      <c r="J455" s="193"/>
      <c r="K455" s="193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  <c r="AC455" s="77"/>
      <c r="AD455" s="77"/>
      <c r="AE455" s="77"/>
      <c r="AF455" s="77"/>
      <c r="AG455" s="77"/>
      <c r="AH455" s="77"/>
      <c r="AI455" s="78"/>
    </row>
    <row r="456" spans="1:35" x14ac:dyDescent="0.2">
      <c r="A456" s="345" t="s">
        <v>129</v>
      </c>
      <c r="B456" s="369" t="s">
        <v>104</v>
      </c>
      <c r="C456" s="158" t="s">
        <v>84</v>
      </c>
      <c r="D456" s="161" t="s">
        <v>255</v>
      </c>
      <c r="E456" s="137">
        <v>2015</v>
      </c>
      <c r="F456" s="79">
        <f t="shared" ref="F456:F461" si="36">SUM(G456:J456)</f>
        <v>1923.3999999999999</v>
      </c>
      <c r="G456" s="14"/>
      <c r="H456" s="14">
        <f>2020.6-97.2</f>
        <v>1923.3999999999999</v>
      </c>
      <c r="I456" s="14"/>
      <c r="J456" s="14"/>
      <c r="K456" s="161" t="s">
        <v>208</v>
      </c>
    </row>
    <row r="457" spans="1:35" x14ac:dyDescent="0.2">
      <c r="A457" s="346"/>
      <c r="B457" s="318"/>
      <c r="C457" s="159"/>
      <c r="D457" s="159"/>
      <c r="E457" s="137">
        <v>2016</v>
      </c>
      <c r="F457" s="79">
        <f t="shared" si="36"/>
        <v>2072.6</v>
      </c>
      <c r="G457" s="14"/>
      <c r="H457" s="14">
        <f>2072.6</f>
        <v>2072.6</v>
      </c>
      <c r="I457" s="14"/>
      <c r="J457" s="14"/>
      <c r="K457" s="162"/>
      <c r="L457" s="125" t="s">
        <v>304</v>
      </c>
    </row>
    <row r="458" spans="1:35" x14ac:dyDescent="0.2">
      <c r="A458" s="346"/>
      <c r="B458" s="318"/>
      <c r="C458" s="159"/>
      <c r="D458" s="159"/>
      <c r="E458" s="137">
        <v>2017</v>
      </c>
      <c r="F458" s="79">
        <f t="shared" si="36"/>
        <v>1919.6999999999998</v>
      </c>
      <c r="G458" s="14"/>
      <c r="H458" s="14">
        <f>2206.6-286.9</f>
        <v>1919.6999999999998</v>
      </c>
      <c r="I458" s="14"/>
      <c r="J458" s="14"/>
      <c r="K458" s="162"/>
      <c r="L458" s="125" t="s">
        <v>292</v>
      </c>
      <c r="M458" s="132"/>
    </row>
    <row r="459" spans="1:35" x14ac:dyDescent="0.2">
      <c r="A459" s="346"/>
      <c r="B459" s="318"/>
      <c r="C459" s="159"/>
      <c r="D459" s="159"/>
      <c r="E459" s="137">
        <v>2018</v>
      </c>
      <c r="F459" s="79">
        <f t="shared" si="36"/>
        <v>1996.4</v>
      </c>
      <c r="G459" s="14"/>
      <c r="H459" s="14">
        <f>2121.8-125.4</f>
        <v>1996.4</v>
      </c>
      <c r="I459" s="14"/>
      <c r="J459" s="14"/>
      <c r="K459" s="162"/>
      <c r="L459" s="125" t="s">
        <v>292</v>
      </c>
      <c r="M459" s="132"/>
    </row>
    <row r="460" spans="1:35" x14ac:dyDescent="0.2">
      <c r="A460" s="346"/>
      <c r="B460" s="318"/>
      <c r="C460" s="159"/>
      <c r="D460" s="159"/>
      <c r="E460" s="137">
        <v>2019</v>
      </c>
      <c r="F460" s="79">
        <f t="shared" si="36"/>
        <v>2076.3000000000002</v>
      </c>
      <c r="G460" s="14"/>
      <c r="H460" s="14">
        <f>2238.5-162.2</f>
        <v>2076.3000000000002</v>
      </c>
      <c r="I460" s="14"/>
      <c r="J460" s="14"/>
      <c r="K460" s="162"/>
      <c r="L460" s="125" t="s">
        <v>292</v>
      </c>
      <c r="M460" s="132"/>
    </row>
    <row r="461" spans="1:35" x14ac:dyDescent="0.2">
      <c r="A461" s="346"/>
      <c r="B461" s="318"/>
      <c r="C461" s="159"/>
      <c r="D461" s="159"/>
      <c r="E461" s="137">
        <v>2020</v>
      </c>
      <c r="F461" s="79">
        <f t="shared" si="36"/>
        <v>2350.4</v>
      </c>
      <c r="G461" s="14"/>
      <c r="H461" s="14">
        <v>2350.4</v>
      </c>
      <c r="I461" s="14"/>
      <c r="J461" s="14"/>
      <c r="K461" s="162"/>
    </row>
    <row r="462" spans="1:35" ht="18.75" customHeight="1" x14ac:dyDescent="0.2">
      <c r="A462" s="346"/>
      <c r="B462" s="318"/>
      <c r="C462" s="187"/>
      <c r="D462" s="187"/>
      <c r="E462" s="24" t="s">
        <v>18</v>
      </c>
      <c r="F462" s="21">
        <f>SUM(F456:F461)</f>
        <v>12338.800000000001</v>
      </c>
      <c r="G462" s="13"/>
      <c r="H462" s="13">
        <f>SUM(H456:H461)</f>
        <v>12338.800000000001</v>
      </c>
      <c r="I462" s="14"/>
      <c r="J462" s="14"/>
      <c r="K462" s="162"/>
    </row>
    <row r="463" spans="1:35" x14ac:dyDescent="0.2">
      <c r="A463" s="345" t="s">
        <v>131</v>
      </c>
      <c r="B463" s="156" t="s">
        <v>105</v>
      </c>
      <c r="C463" s="158" t="s">
        <v>84</v>
      </c>
      <c r="D463" s="161" t="s">
        <v>255</v>
      </c>
      <c r="E463" s="137">
        <v>2015</v>
      </c>
      <c r="F463" s="79">
        <f t="shared" ref="F463:F468" si="37">SUM(G463:J463)</f>
        <v>759.90000000000009</v>
      </c>
      <c r="G463" s="14"/>
      <c r="H463" s="14">
        <f>783-27.3+4.2</f>
        <v>759.90000000000009</v>
      </c>
      <c r="I463" s="14"/>
      <c r="J463" s="14"/>
      <c r="K463" s="162"/>
    </row>
    <row r="464" spans="1:35" x14ac:dyDescent="0.2">
      <c r="A464" s="346"/>
      <c r="B464" s="209"/>
      <c r="C464" s="159"/>
      <c r="D464" s="159"/>
      <c r="E464" s="137">
        <v>2016</v>
      </c>
      <c r="F464" s="79">
        <f t="shared" si="37"/>
        <v>753.4</v>
      </c>
      <c r="G464" s="14"/>
      <c r="H464" s="14">
        <f>753.4</f>
        <v>753.4</v>
      </c>
      <c r="I464" s="14"/>
      <c r="J464" s="14"/>
      <c r="K464" s="162"/>
      <c r="L464" s="125" t="s">
        <v>303</v>
      </c>
    </row>
    <row r="465" spans="1:14" x14ac:dyDescent="0.2">
      <c r="A465" s="346"/>
      <c r="B465" s="209"/>
      <c r="C465" s="159"/>
      <c r="D465" s="159"/>
      <c r="E465" s="137">
        <v>2017</v>
      </c>
      <c r="F465" s="79">
        <f t="shared" si="37"/>
        <v>671.9</v>
      </c>
      <c r="G465" s="14"/>
      <c r="H465" s="14">
        <f>855-183.1</f>
        <v>671.9</v>
      </c>
      <c r="I465" s="14"/>
      <c r="J465" s="14"/>
      <c r="K465" s="162"/>
      <c r="L465" s="125" t="s">
        <v>292</v>
      </c>
      <c r="M465" s="132"/>
    </row>
    <row r="466" spans="1:14" x14ac:dyDescent="0.2">
      <c r="A466" s="346"/>
      <c r="B466" s="209"/>
      <c r="C466" s="159"/>
      <c r="D466" s="159"/>
      <c r="E466" s="137">
        <v>2018</v>
      </c>
      <c r="F466" s="79">
        <f t="shared" si="37"/>
        <v>698.80000000000007</v>
      </c>
      <c r="G466" s="14"/>
      <c r="H466" s="14">
        <f>737.6-38.8</f>
        <v>698.80000000000007</v>
      </c>
      <c r="I466" s="14"/>
      <c r="J466" s="14"/>
      <c r="K466" s="162"/>
      <c r="L466" s="125" t="s">
        <v>292</v>
      </c>
      <c r="M466" s="132"/>
    </row>
    <row r="467" spans="1:14" x14ac:dyDescent="0.2">
      <c r="A467" s="346"/>
      <c r="B467" s="209"/>
      <c r="C467" s="159"/>
      <c r="D467" s="159"/>
      <c r="E467" s="137">
        <v>2019</v>
      </c>
      <c r="F467" s="79">
        <f t="shared" si="37"/>
        <v>726.80000000000007</v>
      </c>
      <c r="G467" s="14"/>
      <c r="H467" s="14">
        <f>778.2-51.4</f>
        <v>726.80000000000007</v>
      </c>
      <c r="I467" s="14"/>
      <c r="J467" s="14"/>
      <c r="K467" s="162"/>
      <c r="L467" s="125" t="s">
        <v>292</v>
      </c>
      <c r="M467" s="132"/>
    </row>
    <row r="468" spans="1:14" x14ac:dyDescent="0.2">
      <c r="A468" s="346"/>
      <c r="B468" s="209"/>
      <c r="C468" s="159"/>
      <c r="D468" s="159"/>
      <c r="E468" s="137">
        <v>2020</v>
      </c>
      <c r="F468" s="79">
        <f t="shared" si="37"/>
        <v>817.1</v>
      </c>
      <c r="G468" s="14"/>
      <c r="H468" s="14">
        <v>817.1</v>
      </c>
      <c r="I468" s="14"/>
      <c r="J468" s="14"/>
      <c r="K468" s="162"/>
    </row>
    <row r="469" spans="1:14" x14ac:dyDescent="0.2">
      <c r="A469" s="346"/>
      <c r="B469" s="189"/>
      <c r="C469" s="159"/>
      <c r="D469" s="187"/>
      <c r="E469" s="24" t="s">
        <v>18</v>
      </c>
      <c r="F469" s="21">
        <f>SUM(F463:F468)</f>
        <v>4427.9000000000005</v>
      </c>
      <c r="G469" s="13"/>
      <c r="H469" s="13">
        <f>SUM(H463:H468)</f>
        <v>4427.9000000000005</v>
      </c>
      <c r="I469" s="13"/>
      <c r="J469" s="13"/>
      <c r="K469" s="162"/>
    </row>
    <row r="470" spans="1:14" x14ac:dyDescent="0.2">
      <c r="A470" s="345" t="s">
        <v>133</v>
      </c>
      <c r="B470" s="156" t="s">
        <v>106</v>
      </c>
      <c r="C470" s="158" t="s">
        <v>84</v>
      </c>
      <c r="D470" s="161" t="s">
        <v>255</v>
      </c>
      <c r="E470" s="137">
        <v>2015</v>
      </c>
      <c r="F470" s="79">
        <f t="shared" ref="F470:F475" si="38">SUM(G470:J470)</f>
        <v>285</v>
      </c>
      <c r="G470" s="14"/>
      <c r="H470" s="14"/>
      <c r="I470" s="14">
        <v>285</v>
      </c>
      <c r="J470" s="14"/>
      <c r="K470" s="162"/>
    </row>
    <row r="471" spans="1:14" x14ac:dyDescent="0.2">
      <c r="A471" s="346"/>
      <c r="B471" s="209"/>
      <c r="C471" s="159"/>
      <c r="D471" s="159"/>
      <c r="E471" s="137">
        <v>2016</v>
      </c>
      <c r="F471" s="79">
        <f t="shared" si="38"/>
        <v>229.59999999999997</v>
      </c>
      <c r="G471" s="14"/>
      <c r="H471" s="14"/>
      <c r="I471" s="14">
        <f>281.4-51.8</f>
        <v>229.59999999999997</v>
      </c>
      <c r="J471" s="14"/>
      <c r="K471" s="162"/>
      <c r="L471" s="125" t="s">
        <v>333</v>
      </c>
    </row>
    <row r="472" spans="1:14" x14ac:dyDescent="0.2">
      <c r="A472" s="346"/>
      <c r="B472" s="209"/>
      <c r="C472" s="159"/>
      <c r="D472" s="159"/>
      <c r="E472" s="137">
        <v>2017</v>
      </c>
      <c r="F472" s="79">
        <f t="shared" si="38"/>
        <v>225.6</v>
      </c>
      <c r="G472" s="14"/>
      <c r="H472" s="14"/>
      <c r="I472" s="14">
        <v>225.6</v>
      </c>
      <c r="J472" s="14"/>
      <c r="K472" s="162"/>
      <c r="L472" s="125" t="s">
        <v>291</v>
      </c>
    </row>
    <row r="473" spans="1:14" x14ac:dyDescent="0.2">
      <c r="A473" s="346"/>
      <c r="B473" s="209"/>
      <c r="C473" s="159"/>
      <c r="D473" s="159"/>
      <c r="E473" s="137">
        <v>2018</v>
      </c>
      <c r="F473" s="79">
        <f t="shared" si="38"/>
        <v>0</v>
      </c>
      <c r="G473" s="14"/>
      <c r="H473" s="14"/>
      <c r="I473" s="14">
        <f>272.7-272.7</f>
        <v>0</v>
      </c>
      <c r="J473" s="14"/>
      <c r="K473" s="162"/>
      <c r="L473" s="125" t="s">
        <v>307</v>
      </c>
    </row>
    <row r="474" spans="1:14" x14ac:dyDescent="0.2">
      <c r="A474" s="346"/>
      <c r="B474" s="209"/>
      <c r="C474" s="159"/>
      <c r="D474" s="159"/>
      <c r="E474" s="137">
        <v>2019</v>
      </c>
      <c r="F474" s="79">
        <f t="shared" si="38"/>
        <v>0</v>
      </c>
      <c r="G474" s="14"/>
      <c r="H474" s="14"/>
      <c r="I474" s="14">
        <f>267.5-267.5</f>
        <v>0</v>
      </c>
      <c r="J474" s="14"/>
      <c r="K474" s="162"/>
      <c r="L474" s="4" t="s">
        <v>307</v>
      </c>
    </row>
    <row r="475" spans="1:14" x14ac:dyDescent="0.2">
      <c r="A475" s="346"/>
      <c r="B475" s="209"/>
      <c r="C475" s="159"/>
      <c r="D475" s="159"/>
      <c r="E475" s="137">
        <v>2020</v>
      </c>
      <c r="F475" s="79">
        <f t="shared" si="38"/>
        <v>261.8</v>
      </c>
      <c r="G475" s="14"/>
      <c r="H475" s="14"/>
      <c r="I475" s="14">
        <v>261.8</v>
      </c>
      <c r="J475" s="14"/>
      <c r="K475" s="162"/>
    </row>
    <row r="476" spans="1:14" ht="60.75" customHeight="1" x14ac:dyDescent="0.2">
      <c r="A476" s="346"/>
      <c r="B476" s="189"/>
      <c r="C476" s="159"/>
      <c r="D476" s="187"/>
      <c r="E476" s="24" t="s">
        <v>18</v>
      </c>
      <c r="F476" s="21">
        <f>SUM(F470:F475)</f>
        <v>1002</v>
      </c>
      <c r="G476" s="13"/>
      <c r="H476" s="13"/>
      <c r="I476" s="13">
        <f>SUM(I470:I475)</f>
        <v>1002</v>
      </c>
      <c r="J476" s="13"/>
      <c r="K476" s="162"/>
    </row>
    <row r="477" spans="1:14" x14ac:dyDescent="0.2">
      <c r="A477" s="345" t="s">
        <v>135</v>
      </c>
      <c r="B477" s="175" t="s">
        <v>107</v>
      </c>
      <c r="C477" s="158" t="s">
        <v>84</v>
      </c>
      <c r="D477" s="161" t="s">
        <v>255</v>
      </c>
      <c r="E477" s="137">
        <v>2015</v>
      </c>
      <c r="F477" s="79">
        <f t="shared" ref="F477:F482" si="39">SUM(G477:I477)</f>
        <v>7143.2</v>
      </c>
      <c r="G477" s="14"/>
      <c r="H477" s="14">
        <f>7797.5+70.5-920.2-88.1</f>
        <v>6859.7</v>
      </c>
      <c r="I477" s="14">
        <v>283.5</v>
      </c>
      <c r="J477" s="14"/>
      <c r="K477" s="162"/>
    </row>
    <row r="478" spans="1:14" x14ac:dyDescent="0.2">
      <c r="A478" s="346"/>
      <c r="B478" s="193"/>
      <c r="C478" s="159"/>
      <c r="D478" s="159"/>
      <c r="E478" s="137">
        <v>2016</v>
      </c>
      <c r="F478" s="79">
        <f t="shared" si="39"/>
        <v>6232.8</v>
      </c>
      <c r="G478" s="14"/>
      <c r="H478" s="14">
        <f>9160.9-998.2-2081</f>
        <v>6081.7</v>
      </c>
      <c r="I478" s="14">
        <f>296.8-145.7</f>
        <v>151.10000000000002</v>
      </c>
      <c r="J478" s="14"/>
      <c r="K478" s="162"/>
      <c r="L478" s="125" t="s">
        <v>334</v>
      </c>
    </row>
    <row r="479" spans="1:14" x14ac:dyDescent="0.2">
      <c r="A479" s="346"/>
      <c r="B479" s="193"/>
      <c r="C479" s="159"/>
      <c r="D479" s="159"/>
      <c r="E479" s="137">
        <v>2017</v>
      </c>
      <c r="F479" s="79">
        <f t="shared" si="39"/>
        <v>8190.4</v>
      </c>
      <c r="G479" s="14"/>
      <c r="H479" s="14">
        <f>8514.9-550.1</f>
        <v>7964.7999999999993</v>
      </c>
      <c r="I479" s="14">
        <f>309.6-84</f>
        <v>225.60000000000002</v>
      </c>
      <c r="J479" s="14"/>
      <c r="K479" s="162"/>
      <c r="L479" s="125" t="s">
        <v>292</v>
      </c>
      <c r="M479" s="132"/>
      <c r="N479" s="132"/>
    </row>
    <row r="480" spans="1:14" x14ac:dyDescent="0.2">
      <c r="A480" s="346"/>
      <c r="B480" s="193"/>
      <c r="C480" s="159"/>
      <c r="D480" s="159"/>
      <c r="E480" s="137">
        <v>2018</v>
      </c>
      <c r="F480" s="79">
        <f t="shared" si="39"/>
        <v>8237.5</v>
      </c>
      <c r="G480" s="14"/>
      <c r="H480" s="14">
        <f>12080-4115.2</f>
        <v>7964.8</v>
      </c>
      <c r="I480" s="14">
        <f>61+211.7</f>
        <v>272.7</v>
      </c>
      <c r="J480" s="14"/>
      <c r="K480" s="162"/>
      <c r="L480" s="125" t="s">
        <v>292</v>
      </c>
      <c r="M480" s="132"/>
      <c r="N480" s="132"/>
    </row>
    <row r="481" spans="1:35" x14ac:dyDescent="0.2">
      <c r="A481" s="346"/>
      <c r="B481" s="193"/>
      <c r="C481" s="159"/>
      <c r="D481" s="159"/>
      <c r="E481" s="137">
        <v>2019</v>
      </c>
      <c r="F481" s="79">
        <f t="shared" si="39"/>
        <v>8232.2999999999993</v>
      </c>
      <c r="G481" s="14"/>
      <c r="H481" s="14">
        <f>12723-4758.2</f>
        <v>7964.8</v>
      </c>
      <c r="I481" s="14">
        <f>64.4+203.1</f>
        <v>267.5</v>
      </c>
      <c r="J481" s="14"/>
      <c r="K481" s="162"/>
      <c r="L481" s="4" t="s">
        <v>292</v>
      </c>
      <c r="M481" s="132"/>
      <c r="N481" s="132"/>
    </row>
    <row r="482" spans="1:35" x14ac:dyDescent="0.2">
      <c r="A482" s="346"/>
      <c r="B482" s="193"/>
      <c r="C482" s="159"/>
      <c r="D482" s="159"/>
      <c r="E482" s="137">
        <v>2020</v>
      </c>
      <c r="F482" s="79">
        <f t="shared" si="39"/>
        <v>13426.2</v>
      </c>
      <c r="G482" s="14"/>
      <c r="H482" s="14">
        <v>13359</v>
      </c>
      <c r="I482" s="14">
        <v>67.2</v>
      </c>
      <c r="J482" s="14"/>
      <c r="K482" s="162"/>
    </row>
    <row r="483" spans="1:35" ht="35.25" customHeight="1" x14ac:dyDescent="0.2">
      <c r="A483" s="346"/>
      <c r="B483" s="193"/>
      <c r="C483" s="159"/>
      <c r="D483" s="187"/>
      <c r="E483" s="24" t="s">
        <v>18</v>
      </c>
      <c r="F483" s="21">
        <f>SUM(F477:F482)</f>
        <v>51462.399999999994</v>
      </c>
      <c r="G483" s="13"/>
      <c r="H483" s="13">
        <f>SUM(H477:H482)</f>
        <v>50194.799999999996</v>
      </c>
      <c r="I483" s="13">
        <f>SUM(I477:I482)</f>
        <v>1267.6000000000001</v>
      </c>
      <c r="J483" s="14"/>
      <c r="K483" s="165"/>
    </row>
    <row r="484" spans="1:35" ht="26.25" thickBot="1" x14ac:dyDescent="0.25">
      <c r="A484" s="201" t="s">
        <v>241</v>
      </c>
      <c r="B484" s="209"/>
      <c r="C484" s="209"/>
      <c r="D484" s="209"/>
      <c r="E484" s="61" t="s">
        <v>75</v>
      </c>
      <c r="F484" s="20">
        <f>F462+F469+F476+F483</f>
        <v>69231.099999999991</v>
      </c>
      <c r="G484" s="20">
        <f>G462+G469+G476+G483</f>
        <v>0</v>
      </c>
      <c r="H484" s="20">
        <f>H462+H469+H476+H483</f>
        <v>66961.5</v>
      </c>
      <c r="I484" s="20">
        <f>I462+I469+I476+I483</f>
        <v>2269.6000000000004</v>
      </c>
      <c r="J484" s="18"/>
      <c r="K484" s="61"/>
    </row>
    <row r="485" spans="1:35" ht="27" customHeight="1" thickBot="1" x14ac:dyDescent="0.25">
      <c r="A485" s="194" t="s">
        <v>242</v>
      </c>
      <c r="B485" s="352"/>
      <c r="C485" s="352"/>
      <c r="D485" s="352"/>
      <c r="E485" s="352"/>
      <c r="F485" s="352"/>
      <c r="G485" s="352"/>
      <c r="H485" s="352"/>
      <c r="I485" s="352"/>
      <c r="J485" s="352"/>
      <c r="K485" s="353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1"/>
    </row>
    <row r="486" spans="1:35" ht="15" thickBot="1" x14ac:dyDescent="0.25">
      <c r="A486" s="194" t="s">
        <v>243</v>
      </c>
      <c r="B486" s="352"/>
      <c r="C486" s="352"/>
      <c r="D486" s="352"/>
      <c r="E486" s="352"/>
      <c r="F486" s="352"/>
      <c r="G486" s="352"/>
      <c r="H486" s="352"/>
      <c r="I486" s="352"/>
      <c r="J486" s="352"/>
      <c r="K486" s="353"/>
    </row>
    <row r="487" spans="1:35" x14ac:dyDescent="0.2">
      <c r="A487" s="345" t="s">
        <v>79</v>
      </c>
      <c r="B487" s="175" t="s">
        <v>108</v>
      </c>
      <c r="C487" s="184" t="s">
        <v>75</v>
      </c>
      <c r="D487" s="279" t="s">
        <v>255</v>
      </c>
      <c r="E487" s="137">
        <v>2015</v>
      </c>
      <c r="F487" s="79">
        <f t="shared" ref="F487:F492" si="40">SUM(G487:I487)</f>
        <v>45</v>
      </c>
      <c r="G487" s="14"/>
      <c r="H487" s="14"/>
      <c r="I487" s="14">
        <v>45</v>
      </c>
      <c r="J487" s="14"/>
      <c r="K487" s="279" t="s">
        <v>209</v>
      </c>
    </row>
    <row r="488" spans="1:35" x14ac:dyDescent="0.2">
      <c r="A488" s="346"/>
      <c r="B488" s="193"/>
      <c r="C488" s="185"/>
      <c r="D488" s="159"/>
      <c r="E488" s="137">
        <v>2016</v>
      </c>
      <c r="F488" s="79">
        <f t="shared" si="40"/>
        <v>47</v>
      </c>
      <c r="G488" s="14"/>
      <c r="H488" s="14"/>
      <c r="I488" s="14">
        <v>47</v>
      </c>
      <c r="J488" s="14"/>
      <c r="K488" s="162"/>
    </row>
    <row r="489" spans="1:35" x14ac:dyDescent="0.2">
      <c r="A489" s="346"/>
      <c r="B489" s="193"/>
      <c r="C489" s="185"/>
      <c r="D489" s="159"/>
      <c r="E489" s="137">
        <v>2017</v>
      </c>
      <c r="F489" s="79">
        <f t="shared" si="40"/>
        <v>42</v>
      </c>
      <c r="G489" s="14"/>
      <c r="H489" s="14"/>
      <c r="I489" s="14">
        <v>42</v>
      </c>
      <c r="J489" s="14"/>
      <c r="K489" s="162"/>
      <c r="L489" s="125" t="s">
        <v>291</v>
      </c>
    </row>
    <row r="490" spans="1:35" x14ac:dyDescent="0.2">
      <c r="A490" s="346"/>
      <c r="B490" s="193"/>
      <c r="C490" s="185"/>
      <c r="D490" s="159"/>
      <c r="E490" s="137">
        <v>2018</v>
      </c>
      <c r="F490" s="79">
        <f t="shared" si="40"/>
        <v>51</v>
      </c>
      <c r="G490" s="14"/>
      <c r="H490" s="14"/>
      <c r="I490" s="14">
        <v>51</v>
      </c>
      <c r="J490" s="14"/>
      <c r="K490" s="162"/>
      <c r="L490" s="125" t="s">
        <v>310</v>
      </c>
    </row>
    <row r="491" spans="1:35" x14ac:dyDescent="0.2">
      <c r="A491" s="346"/>
      <c r="B491" s="193"/>
      <c r="C491" s="185"/>
      <c r="D491" s="159"/>
      <c r="E491" s="137">
        <v>2019</v>
      </c>
      <c r="F491" s="79">
        <f t="shared" si="40"/>
        <v>53</v>
      </c>
      <c r="G491" s="14"/>
      <c r="H491" s="14"/>
      <c r="I491" s="14">
        <v>53</v>
      </c>
      <c r="J491" s="14"/>
      <c r="K491" s="162"/>
      <c r="L491" s="125" t="s">
        <v>310</v>
      </c>
    </row>
    <row r="492" spans="1:35" x14ac:dyDescent="0.2">
      <c r="A492" s="346"/>
      <c r="B492" s="193"/>
      <c r="C492" s="185"/>
      <c r="D492" s="159"/>
      <c r="E492" s="137">
        <v>2020</v>
      </c>
      <c r="F492" s="79">
        <f t="shared" si="40"/>
        <v>55</v>
      </c>
      <c r="G492" s="14"/>
      <c r="H492" s="14"/>
      <c r="I492" s="14">
        <v>55</v>
      </c>
      <c r="J492" s="14"/>
      <c r="K492" s="162"/>
    </row>
    <row r="493" spans="1:35" x14ac:dyDescent="0.2">
      <c r="A493" s="346"/>
      <c r="B493" s="193"/>
      <c r="C493" s="185"/>
      <c r="D493" s="187"/>
      <c r="E493" s="24" t="s">
        <v>18</v>
      </c>
      <c r="F493" s="21">
        <f>SUM(F487:F492)</f>
        <v>293</v>
      </c>
      <c r="G493" s="13"/>
      <c r="H493" s="13"/>
      <c r="I493" s="13">
        <f>SUM(I487:I492)</f>
        <v>293</v>
      </c>
      <c r="J493" s="14"/>
      <c r="K493" s="165"/>
    </row>
    <row r="494" spans="1:35" x14ac:dyDescent="0.2">
      <c r="A494" s="179" t="s">
        <v>88</v>
      </c>
      <c r="B494" s="175" t="s">
        <v>109</v>
      </c>
      <c r="C494" s="184" t="s">
        <v>75</v>
      </c>
      <c r="D494" s="161" t="s">
        <v>255</v>
      </c>
      <c r="E494" s="137">
        <v>2015</v>
      </c>
      <c r="F494" s="79">
        <f t="shared" ref="F494:F499" si="41">I494</f>
        <v>12</v>
      </c>
      <c r="G494" s="14"/>
      <c r="H494" s="14"/>
      <c r="I494" s="14">
        <v>12</v>
      </c>
      <c r="J494" s="14"/>
      <c r="K494" s="161" t="s">
        <v>210</v>
      </c>
    </row>
    <row r="495" spans="1:35" x14ac:dyDescent="0.2">
      <c r="A495" s="180"/>
      <c r="B495" s="193"/>
      <c r="C495" s="185"/>
      <c r="D495" s="159"/>
      <c r="E495" s="137">
        <v>2016</v>
      </c>
      <c r="F495" s="79">
        <f t="shared" si="41"/>
        <v>12.5</v>
      </c>
      <c r="G495" s="14"/>
      <c r="H495" s="14"/>
      <c r="I495" s="14">
        <v>12.5</v>
      </c>
      <c r="J495" s="14"/>
      <c r="K495" s="162"/>
    </row>
    <row r="496" spans="1:35" x14ac:dyDescent="0.2">
      <c r="A496" s="180"/>
      <c r="B496" s="193"/>
      <c r="C496" s="185"/>
      <c r="D496" s="159"/>
      <c r="E496" s="137">
        <v>2017</v>
      </c>
      <c r="F496" s="79">
        <f t="shared" si="41"/>
        <v>9.3000000000000007</v>
      </c>
      <c r="G496" s="14"/>
      <c r="H496" s="14"/>
      <c r="I496" s="14">
        <v>9.3000000000000007</v>
      </c>
      <c r="J496" s="14"/>
      <c r="K496" s="162"/>
      <c r="L496" s="125" t="s">
        <v>291</v>
      </c>
    </row>
    <row r="497" spans="1:12" x14ac:dyDescent="0.2">
      <c r="A497" s="180"/>
      <c r="B497" s="193"/>
      <c r="C497" s="185"/>
      <c r="D497" s="159"/>
      <c r="E497" s="137">
        <v>2018</v>
      </c>
      <c r="F497" s="79">
        <f t="shared" si="41"/>
        <v>13.5</v>
      </c>
      <c r="G497" s="14"/>
      <c r="H497" s="14"/>
      <c r="I497" s="14">
        <v>13.5</v>
      </c>
      <c r="J497" s="14"/>
      <c r="K497" s="162"/>
      <c r="L497" s="125" t="s">
        <v>310</v>
      </c>
    </row>
    <row r="498" spans="1:12" x14ac:dyDescent="0.2">
      <c r="A498" s="180"/>
      <c r="B498" s="193"/>
      <c r="C498" s="185"/>
      <c r="D498" s="159"/>
      <c r="E498" s="137">
        <v>2019</v>
      </c>
      <c r="F498" s="79">
        <f t="shared" si="41"/>
        <v>14</v>
      </c>
      <c r="G498" s="14"/>
      <c r="H498" s="14"/>
      <c r="I498" s="14">
        <v>14</v>
      </c>
      <c r="J498" s="14"/>
      <c r="K498" s="162"/>
      <c r="L498" s="125" t="s">
        <v>310</v>
      </c>
    </row>
    <row r="499" spans="1:12" x14ac:dyDescent="0.2">
      <c r="A499" s="180"/>
      <c r="B499" s="193"/>
      <c r="C499" s="185"/>
      <c r="D499" s="159"/>
      <c r="E499" s="137">
        <v>2020</v>
      </c>
      <c r="F499" s="79">
        <f t="shared" si="41"/>
        <v>14.5</v>
      </c>
      <c r="G499" s="14"/>
      <c r="H499" s="14"/>
      <c r="I499" s="14">
        <v>14.5</v>
      </c>
      <c r="J499" s="14"/>
      <c r="K499" s="162"/>
    </row>
    <row r="500" spans="1:12" x14ac:dyDescent="0.2">
      <c r="A500" s="180"/>
      <c r="B500" s="193"/>
      <c r="C500" s="185"/>
      <c r="D500" s="187"/>
      <c r="E500" s="24" t="s">
        <v>18</v>
      </c>
      <c r="F500" s="21">
        <f>SUM(F494:F499)</f>
        <v>75.8</v>
      </c>
      <c r="G500" s="13"/>
      <c r="H500" s="13"/>
      <c r="I500" s="13">
        <f>SUM(I494:I499)</f>
        <v>75.8</v>
      </c>
      <c r="J500" s="14"/>
      <c r="K500" s="165"/>
    </row>
    <row r="501" spans="1:12" x14ac:dyDescent="0.2">
      <c r="A501" s="179" t="s">
        <v>110</v>
      </c>
      <c r="B501" s="175" t="s">
        <v>111</v>
      </c>
      <c r="C501" s="184" t="s">
        <v>75</v>
      </c>
      <c r="D501" s="161" t="s">
        <v>255</v>
      </c>
      <c r="E501" s="137">
        <v>2015</v>
      </c>
      <c r="F501" s="80"/>
      <c r="G501" s="2"/>
      <c r="H501" s="2"/>
      <c r="I501" s="2"/>
      <c r="J501" s="2"/>
      <c r="K501" s="161" t="s">
        <v>211</v>
      </c>
    </row>
    <row r="502" spans="1:12" x14ac:dyDescent="0.2">
      <c r="A502" s="180"/>
      <c r="B502" s="193"/>
      <c r="C502" s="185"/>
      <c r="D502" s="159"/>
      <c r="E502" s="137">
        <v>2016</v>
      </c>
      <c r="F502" s="80"/>
      <c r="G502" s="2"/>
      <c r="H502" s="2"/>
      <c r="I502" s="2"/>
      <c r="J502" s="2"/>
      <c r="K502" s="162"/>
    </row>
    <row r="503" spans="1:12" x14ac:dyDescent="0.2">
      <c r="A503" s="180"/>
      <c r="B503" s="193"/>
      <c r="C503" s="185"/>
      <c r="D503" s="159"/>
      <c r="E503" s="137">
        <v>2017</v>
      </c>
      <c r="F503" s="80"/>
      <c r="G503" s="2"/>
      <c r="H503" s="2"/>
      <c r="I503" s="2"/>
      <c r="J503" s="2"/>
      <c r="K503" s="162"/>
    </row>
    <row r="504" spans="1:12" x14ac:dyDescent="0.2">
      <c r="A504" s="180"/>
      <c r="B504" s="193"/>
      <c r="C504" s="185"/>
      <c r="D504" s="159"/>
      <c r="E504" s="137">
        <v>2018</v>
      </c>
      <c r="F504" s="80"/>
      <c r="G504" s="2"/>
      <c r="H504" s="2"/>
      <c r="I504" s="2"/>
      <c r="J504" s="2"/>
      <c r="K504" s="162"/>
    </row>
    <row r="505" spans="1:12" x14ac:dyDescent="0.2">
      <c r="A505" s="180"/>
      <c r="B505" s="193"/>
      <c r="C505" s="185"/>
      <c r="D505" s="159"/>
      <c r="E505" s="137">
        <v>2019</v>
      </c>
      <c r="F505" s="80"/>
      <c r="G505" s="2"/>
      <c r="H505" s="2"/>
      <c r="I505" s="2"/>
      <c r="J505" s="2"/>
      <c r="K505" s="162"/>
    </row>
    <row r="506" spans="1:12" x14ac:dyDescent="0.2">
      <c r="A506" s="180"/>
      <c r="B506" s="193"/>
      <c r="C506" s="185"/>
      <c r="D506" s="159"/>
      <c r="E506" s="137">
        <v>2020</v>
      </c>
      <c r="F506" s="80"/>
      <c r="G506" s="2"/>
      <c r="H506" s="2"/>
      <c r="I506" s="2"/>
      <c r="J506" s="2"/>
      <c r="K506" s="162"/>
    </row>
    <row r="507" spans="1:12" x14ac:dyDescent="0.2">
      <c r="A507" s="180"/>
      <c r="B507" s="193"/>
      <c r="C507" s="185"/>
      <c r="D507" s="187"/>
      <c r="E507" s="24" t="s">
        <v>18</v>
      </c>
      <c r="F507" s="80"/>
      <c r="G507" s="2"/>
      <c r="H507" s="2"/>
      <c r="I507" s="2"/>
      <c r="J507" s="2"/>
      <c r="K507" s="165"/>
    </row>
    <row r="508" spans="1:12" ht="12.75" customHeight="1" x14ac:dyDescent="0.2">
      <c r="A508" s="179" t="s">
        <v>112</v>
      </c>
      <c r="B508" s="175" t="s">
        <v>113</v>
      </c>
      <c r="C508" s="184" t="s">
        <v>75</v>
      </c>
      <c r="D508" s="161" t="s">
        <v>255</v>
      </c>
      <c r="E508" s="137">
        <v>2015</v>
      </c>
      <c r="F508" s="80"/>
      <c r="G508" s="2"/>
      <c r="H508" s="2"/>
      <c r="I508" s="2"/>
      <c r="J508" s="2"/>
      <c r="K508" s="161" t="s">
        <v>212</v>
      </c>
    </row>
    <row r="509" spans="1:12" x14ac:dyDescent="0.2">
      <c r="A509" s="180"/>
      <c r="B509" s="193"/>
      <c r="C509" s="185"/>
      <c r="D509" s="159"/>
      <c r="E509" s="137">
        <v>2016</v>
      </c>
      <c r="F509" s="80"/>
      <c r="G509" s="2"/>
      <c r="H509" s="2"/>
      <c r="I509" s="2"/>
      <c r="J509" s="2"/>
      <c r="K509" s="162"/>
    </row>
    <row r="510" spans="1:12" x14ac:dyDescent="0.2">
      <c r="A510" s="180"/>
      <c r="B510" s="193"/>
      <c r="C510" s="185"/>
      <c r="D510" s="159"/>
      <c r="E510" s="137">
        <v>2017</v>
      </c>
      <c r="F510" s="80"/>
      <c r="G510" s="2"/>
      <c r="H510" s="2"/>
      <c r="I510" s="2"/>
      <c r="J510" s="2"/>
      <c r="K510" s="162"/>
    </row>
    <row r="511" spans="1:12" x14ac:dyDescent="0.2">
      <c r="A511" s="180"/>
      <c r="B511" s="193"/>
      <c r="C511" s="185"/>
      <c r="D511" s="159"/>
      <c r="E511" s="137">
        <v>2018</v>
      </c>
      <c r="F511" s="80"/>
      <c r="G511" s="2"/>
      <c r="H511" s="2"/>
      <c r="I511" s="2"/>
      <c r="J511" s="2"/>
      <c r="K511" s="162"/>
    </row>
    <row r="512" spans="1:12" x14ac:dyDescent="0.2">
      <c r="A512" s="180"/>
      <c r="B512" s="193"/>
      <c r="C512" s="185"/>
      <c r="D512" s="159"/>
      <c r="E512" s="137">
        <v>2019</v>
      </c>
      <c r="F512" s="80"/>
      <c r="G512" s="2"/>
      <c r="H512" s="2"/>
      <c r="I512" s="2"/>
      <c r="J512" s="2"/>
      <c r="K512" s="162"/>
    </row>
    <row r="513" spans="1:35" x14ac:dyDescent="0.2">
      <c r="A513" s="180"/>
      <c r="B513" s="193"/>
      <c r="C513" s="185"/>
      <c r="D513" s="159"/>
      <c r="E513" s="137">
        <v>2020</v>
      </c>
      <c r="F513" s="80"/>
      <c r="G513" s="2"/>
      <c r="H513" s="2"/>
      <c r="I513" s="2"/>
      <c r="J513" s="2"/>
      <c r="K513" s="162"/>
    </row>
    <row r="514" spans="1:35" ht="24.75" customHeight="1" x14ac:dyDescent="0.2">
      <c r="A514" s="180"/>
      <c r="B514" s="193"/>
      <c r="C514" s="185"/>
      <c r="D514" s="187"/>
      <c r="E514" s="24" t="s">
        <v>18</v>
      </c>
      <c r="F514" s="80"/>
      <c r="G514" s="2"/>
      <c r="H514" s="2"/>
      <c r="I514" s="2"/>
      <c r="J514" s="2"/>
      <c r="K514" s="162"/>
    </row>
    <row r="515" spans="1:35" ht="26.25" thickBot="1" x14ac:dyDescent="0.25">
      <c r="A515" s="188" t="s">
        <v>244</v>
      </c>
      <c r="B515" s="189"/>
      <c r="C515" s="189"/>
      <c r="D515" s="189"/>
      <c r="E515" s="6" t="s">
        <v>75</v>
      </c>
      <c r="F515" s="17">
        <f>F493+F500</f>
        <v>368.8</v>
      </c>
      <c r="G515" s="17"/>
      <c r="H515" s="17"/>
      <c r="I515" s="17">
        <f>I493+I500</f>
        <v>368.8</v>
      </c>
      <c r="J515" s="17"/>
      <c r="K515" s="145"/>
    </row>
    <row r="516" spans="1:35" ht="31.5" customHeight="1" thickBot="1" x14ac:dyDescent="0.25">
      <c r="A516" s="255" t="s">
        <v>245</v>
      </c>
      <c r="B516" s="318"/>
      <c r="C516" s="318"/>
      <c r="D516" s="318"/>
      <c r="E516" s="318"/>
      <c r="F516" s="318"/>
      <c r="G516" s="318"/>
      <c r="H516" s="318"/>
      <c r="I516" s="318"/>
      <c r="J516" s="318"/>
      <c r="K516" s="318"/>
      <c r="L516" s="81"/>
      <c r="M516" s="81"/>
      <c r="N516" s="81"/>
      <c r="O516" s="81"/>
      <c r="P516" s="81"/>
      <c r="Q516" s="81"/>
      <c r="R516" s="81"/>
      <c r="S516" s="81"/>
      <c r="T516" s="81"/>
      <c r="U516" s="81"/>
      <c r="V516" s="81"/>
      <c r="W516" s="81"/>
      <c r="X516" s="81"/>
      <c r="Y516" s="81"/>
      <c r="Z516" s="81"/>
      <c r="AA516" s="81"/>
      <c r="AB516" s="81"/>
      <c r="AC516" s="81"/>
      <c r="AD516" s="81"/>
      <c r="AE516" s="81"/>
      <c r="AF516" s="81"/>
      <c r="AG516" s="81"/>
      <c r="AH516" s="81"/>
      <c r="AI516" s="82"/>
    </row>
    <row r="517" spans="1:35" ht="30" customHeight="1" thickBot="1" x14ac:dyDescent="0.25">
      <c r="A517" s="249" t="s">
        <v>246</v>
      </c>
      <c r="B517" s="400"/>
      <c r="C517" s="400"/>
      <c r="D517" s="250"/>
      <c r="E517" s="250"/>
      <c r="F517" s="250"/>
      <c r="G517" s="250"/>
      <c r="H517" s="250"/>
      <c r="I517" s="250"/>
      <c r="J517" s="250"/>
      <c r="K517" s="250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  <c r="AA517" s="83"/>
      <c r="AB517" s="83"/>
      <c r="AC517" s="83"/>
      <c r="AD517" s="83"/>
      <c r="AE517" s="83"/>
      <c r="AF517" s="83"/>
      <c r="AG517" s="83"/>
      <c r="AH517" s="83"/>
      <c r="AI517" s="84"/>
    </row>
    <row r="518" spans="1:35" x14ac:dyDescent="0.2">
      <c r="A518" s="179" t="s">
        <v>114</v>
      </c>
      <c r="B518" s="175" t="s">
        <v>115</v>
      </c>
      <c r="C518" s="184" t="s">
        <v>75</v>
      </c>
      <c r="D518" s="161" t="s">
        <v>255</v>
      </c>
      <c r="E518" s="137">
        <v>2015</v>
      </c>
      <c r="F518" s="79">
        <f t="shared" ref="F518:F523" si="42">SUM(G518:I518)</f>
        <v>170</v>
      </c>
      <c r="G518" s="14"/>
      <c r="H518" s="14"/>
      <c r="I518" s="14">
        <v>170</v>
      </c>
      <c r="J518" s="14"/>
      <c r="K518" s="161" t="s">
        <v>213</v>
      </c>
    </row>
    <row r="519" spans="1:35" x14ac:dyDescent="0.2">
      <c r="A519" s="180"/>
      <c r="B519" s="193"/>
      <c r="C519" s="185"/>
      <c r="D519" s="159"/>
      <c r="E519" s="137">
        <v>2016</v>
      </c>
      <c r="F519" s="79">
        <f t="shared" si="42"/>
        <v>179.9</v>
      </c>
      <c r="G519" s="14"/>
      <c r="H519" s="14"/>
      <c r="I519" s="14">
        <f>180-0.1</f>
        <v>179.9</v>
      </c>
      <c r="J519" s="14"/>
      <c r="K519" s="162"/>
    </row>
    <row r="520" spans="1:35" x14ac:dyDescent="0.2">
      <c r="A520" s="180"/>
      <c r="B520" s="193"/>
      <c r="C520" s="185"/>
      <c r="D520" s="159"/>
      <c r="E520" s="137">
        <v>2017</v>
      </c>
      <c r="F520" s="79">
        <f t="shared" si="42"/>
        <v>155</v>
      </c>
      <c r="G520" s="14"/>
      <c r="H520" s="14"/>
      <c r="I520" s="14">
        <v>155</v>
      </c>
      <c r="J520" s="14"/>
      <c r="K520" s="162"/>
      <c r="L520" s="125" t="s">
        <v>291</v>
      </c>
    </row>
    <row r="521" spans="1:35" x14ac:dyDescent="0.2">
      <c r="A521" s="180"/>
      <c r="B521" s="193"/>
      <c r="C521" s="185"/>
      <c r="D521" s="159"/>
      <c r="E521" s="137">
        <v>2018</v>
      </c>
      <c r="F521" s="79">
        <f t="shared" si="42"/>
        <v>200</v>
      </c>
      <c r="G521" s="14"/>
      <c r="H521" s="14"/>
      <c r="I521" s="14">
        <v>200</v>
      </c>
      <c r="J521" s="14"/>
      <c r="K521" s="162"/>
      <c r="L521" s="125" t="s">
        <v>310</v>
      </c>
    </row>
    <row r="522" spans="1:35" x14ac:dyDescent="0.2">
      <c r="A522" s="180"/>
      <c r="B522" s="193"/>
      <c r="C522" s="185"/>
      <c r="D522" s="159"/>
      <c r="E522" s="137">
        <v>2019</v>
      </c>
      <c r="F522" s="79">
        <f t="shared" si="42"/>
        <v>210</v>
      </c>
      <c r="G522" s="14"/>
      <c r="H522" s="14"/>
      <c r="I522" s="14">
        <v>210</v>
      </c>
      <c r="J522" s="14"/>
      <c r="K522" s="162"/>
      <c r="L522" s="125" t="s">
        <v>310</v>
      </c>
    </row>
    <row r="523" spans="1:35" x14ac:dyDescent="0.2">
      <c r="A523" s="180"/>
      <c r="B523" s="193"/>
      <c r="C523" s="185"/>
      <c r="D523" s="159"/>
      <c r="E523" s="137">
        <v>2020</v>
      </c>
      <c r="F523" s="79">
        <f t="shared" si="42"/>
        <v>220</v>
      </c>
      <c r="G523" s="14"/>
      <c r="H523" s="14"/>
      <c r="I523" s="14">
        <v>220</v>
      </c>
      <c r="J523" s="14"/>
      <c r="K523" s="162"/>
    </row>
    <row r="524" spans="1:35" ht="13.5" thickBot="1" x14ac:dyDescent="0.25">
      <c r="A524" s="180"/>
      <c r="B524" s="193"/>
      <c r="C524" s="185"/>
      <c r="D524" s="187"/>
      <c r="E524" s="24" t="s">
        <v>18</v>
      </c>
      <c r="F524" s="21">
        <f>SUM(F518:F523)</f>
        <v>1134.9000000000001</v>
      </c>
      <c r="G524" s="13"/>
      <c r="H524" s="13"/>
      <c r="I524" s="13">
        <f>SUM(I518:I523)</f>
        <v>1134.9000000000001</v>
      </c>
      <c r="J524" s="14"/>
      <c r="K524" s="165"/>
    </row>
    <row r="525" spans="1:35" x14ac:dyDescent="0.2">
      <c r="A525" s="179" t="s">
        <v>83</v>
      </c>
      <c r="B525" s="182" t="s">
        <v>116</v>
      </c>
      <c r="C525" s="184" t="s">
        <v>75</v>
      </c>
      <c r="D525" s="161" t="s">
        <v>255</v>
      </c>
      <c r="E525" s="137">
        <v>2015</v>
      </c>
      <c r="F525" s="85"/>
      <c r="G525" s="14"/>
      <c r="H525" s="14"/>
      <c r="I525" s="14"/>
      <c r="J525" s="14"/>
      <c r="K525" s="161" t="s">
        <v>214</v>
      </c>
    </row>
    <row r="526" spans="1:35" x14ac:dyDescent="0.2">
      <c r="A526" s="180"/>
      <c r="B526" s="183"/>
      <c r="C526" s="185"/>
      <c r="D526" s="159"/>
      <c r="E526" s="137">
        <v>2016</v>
      </c>
      <c r="F526" s="85"/>
      <c r="G526" s="14"/>
      <c r="H526" s="14"/>
      <c r="I526" s="14"/>
      <c r="J526" s="14"/>
      <c r="K526" s="162"/>
    </row>
    <row r="527" spans="1:35" x14ac:dyDescent="0.2">
      <c r="A527" s="180"/>
      <c r="B527" s="183"/>
      <c r="C527" s="185"/>
      <c r="D527" s="159"/>
      <c r="E527" s="137">
        <v>2017</v>
      </c>
      <c r="F527" s="85"/>
      <c r="G527" s="14"/>
      <c r="H527" s="14"/>
      <c r="I527" s="14"/>
      <c r="J527" s="14"/>
      <c r="K527" s="162"/>
    </row>
    <row r="528" spans="1:35" x14ac:dyDescent="0.2">
      <c r="A528" s="180"/>
      <c r="B528" s="183"/>
      <c r="C528" s="185"/>
      <c r="D528" s="159"/>
      <c r="E528" s="137">
        <v>2018</v>
      </c>
      <c r="F528" s="85"/>
      <c r="G528" s="14"/>
      <c r="H528" s="14"/>
      <c r="I528" s="14"/>
      <c r="J528" s="14"/>
      <c r="K528" s="162"/>
    </row>
    <row r="529" spans="1:35" x14ac:dyDescent="0.2">
      <c r="A529" s="180"/>
      <c r="B529" s="183"/>
      <c r="C529" s="185"/>
      <c r="D529" s="159"/>
      <c r="E529" s="137">
        <v>2019</v>
      </c>
      <c r="F529" s="85"/>
      <c r="G529" s="14"/>
      <c r="H529" s="14"/>
      <c r="I529" s="14"/>
      <c r="J529" s="14"/>
      <c r="K529" s="162"/>
    </row>
    <row r="530" spans="1:35" x14ac:dyDescent="0.2">
      <c r="A530" s="180"/>
      <c r="B530" s="183"/>
      <c r="C530" s="185"/>
      <c r="D530" s="159"/>
      <c r="E530" s="137">
        <v>2020</v>
      </c>
      <c r="F530" s="85"/>
      <c r="G530" s="14"/>
      <c r="H530" s="14"/>
      <c r="I530" s="14"/>
      <c r="J530" s="14"/>
      <c r="K530" s="162"/>
    </row>
    <row r="531" spans="1:35" x14ac:dyDescent="0.2">
      <c r="A531" s="181"/>
      <c r="B531" s="183"/>
      <c r="C531" s="186"/>
      <c r="D531" s="187"/>
      <c r="E531" s="32" t="s">
        <v>18</v>
      </c>
      <c r="F531" s="86"/>
      <c r="G531" s="28"/>
      <c r="H531" s="28"/>
      <c r="I531" s="28"/>
      <c r="J531" s="28"/>
      <c r="K531" s="162"/>
    </row>
    <row r="532" spans="1:35" ht="26.25" thickBot="1" x14ac:dyDescent="0.25">
      <c r="A532" s="188" t="s">
        <v>232</v>
      </c>
      <c r="B532" s="189"/>
      <c r="C532" s="189"/>
      <c r="D532" s="189"/>
      <c r="E532" s="6" t="s">
        <v>75</v>
      </c>
      <c r="F532" s="17">
        <f>F524+F531</f>
        <v>1134.9000000000001</v>
      </c>
      <c r="G532" s="17"/>
      <c r="H532" s="17"/>
      <c r="I532" s="17">
        <f>I524+I531</f>
        <v>1134.9000000000001</v>
      </c>
      <c r="J532" s="19"/>
      <c r="K532" s="116"/>
    </row>
    <row r="533" spans="1:35" ht="18" customHeight="1" thickBot="1" x14ac:dyDescent="0.25">
      <c r="A533" s="190" t="s">
        <v>247</v>
      </c>
      <c r="B533" s="191"/>
      <c r="C533" s="191"/>
      <c r="D533" s="191"/>
      <c r="E533" s="191"/>
      <c r="F533" s="191"/>
      <c r="G533" s="191"/>
      <c r="H533" s="191"/>
      <c r="I533" s="191"/>
      <c r="J533" s="191"/>
      <c r="K533" s="192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  <c r="AB533" s="70"/>
      <c r="AC533" s="70"/>
      <c r="AD533" s="70"/>
      <c r="AE533" s="70"/>
      <c r="AF533" s="70"/>
      <c r="AG533" s="70"/>
      <c r="AH533" s="70"/>
      <c r="AI533" s="71"/>
    </row>
    <row r="534" spans="1:35" ht="15" thickBot="1" x14ac:dyDescent="0.25">
      <c r="A534" s="194" t="s">
        <v>94</v>
      </c>
      <c r="B534" s="195"/>
      <c r="C534" s="195"/>
      <c r="D534" s="195"/>
      <c r="E534" s="195"/>
      <c r="F534" s="195"/>
      <c r="G534" s="195"/>
      <c r="H534" s="195"/>
      <c r="I534" s="195"/>
      <c r="J534" s="195"/>
      <c r="K534" s="196"/>
      <c r="L534" s="87"/>
      <c r="M534" s="87"/>
      <c r="N534" s="87"/>
      <c r="O534" s="87"/>
      <c r="P534" s="87"/>
      <c r="Q534" s="87"/>
      <c r="R534" s="87"/>
      <c r="S534" s="87"/>
      <c r="T534" s="87"/>
      <c r="U534" s="87"/>
      <c r="V534" s="87"/>
      <c r="W534" s="87"/>
      <c r="X534" s="87"/>
      <c r="Y534" s="87"/>
      <c r="Z534" s="87"/>
      <c r="AA534" s="87"/>
      <c r="AB534" s="87"/>
      <c r="AC534" s="87"/>
      <c r="AD534" s="87"/>
      <c r="AE534" s="87"/>
      <c r="AF534" s="87"/>
      <c r="AG534" s="87"/>
      <c r="AH534" s="87"/>
      <c r="AI534" s="88"/>
    </row>
    <row r="535" spans="1:35" x14ac:dyDescent="0.2">
      <c r="A535" s="399" t="s">
        <v>95</v>
      </c>
      <c r="B535" s="174" t="s">
        <v>117</v>
      </c>
      <c r="C535" s="165" t="s">
        <v>75</v>
      </c>
      <c r="D535" s="162" t="s">
        <v>255</v>
      </c>
      <c r="E535" s="141">
        <v>2015</v>
      </c>
      <c r="F535" s="117">
        <f t="shared" ref="F535:F540" si="43">SUM(G535:I535)</f>
        <v>5</v>
      </c>
      <c r="G535" s="12"/>
      <c r="H535" s="12"/>
      <c r="I535" s="12">
        <v>5</v>
      </c>
      <c r="J535" s="12"/>
      <c r="K535" s="162" t="s">
        <v>215</v>
      </c>
    </row>
    <row r="536" spans="1:35" x14ac:dyDescent="0.2">
      <c r="A536" s="180"/>
      <c r="B536" s="193"/>
      <c r="C536" s="371"/>
      <c r="D536" s="159"/>
      <c r="E536" s="137">
        <v>2016</v>
      </c>
      <c r="F536" s="79">
        <f t="shared" si="43"/>
        <v>6</v>
      </c>
      <c r="G536" s="14"/>
      <c r="H536" s="14"/>
      <c r="I536" s="14">
        <v>6</v>
      </c>
      <c r="J536" s="14"/>
      <c r="K536" s="162"/>
    </row>
    <row r="537" spans="1:35" x14ac:dyDescent="0.2">
      <c r="A537" s="180"/>
      <c r="B537" s="193"/>
      <c r="C537" s="371"/>
      <c r="D537" s="159"/>
      <c r="E537" s="137">
        <v>2017</v>
      </c>
      <c r="F537" s="79">
        <f t="shared" si="43"/>
        <v>5</v>
      </c>
      <c r="G537" s="14"/>
      <c r="H537" s="14"/>
      <c r="I537" s="14">
        <v>5</v>
      </c>
      <c r="J537" s="14"/>
      <c r="K537" s="162"/>
      <c r="L537" s="125" t="s">
        <v>291</v>
      </c>
    </row>
    <row r="538" spans="1:35" x14ac:dyDescent="0.2">
      <c r="A538" s="180"/>
      <c r="B538" s="193"/>
      <c r="C538" s="371"/>
      <c r="D538" s="159"/>
      <c r="E538" s="137">
        <v>2018</v>
      </c>
      <c r="F538" s="79">
        <f t="shared" si="43"/>
        <v>7</v>
      </c>
      <c r="G538" s="14"/>
      <c r="H538" s="14"/>
      <c r="I538" s="14">
        <v>7</v>
      </c>
      <c r="J538" s="14"/>
      <c r="K538" s="162"/>
      <c r="L538" s="125" t="s">
        <v>310</v>
      </c>
    </row>
    <row r="539" spans="1:35" x14ac:dyDescent="0.2">
      <c r="A539" s="180"/>
      <c r="B539" s="193"/>
      <c r="C539" s="371"/>
      <c r="D539" s="159"/>
      <c r="E539" s="137">
        <v>2019</v>
      </c>
      <c r="F539" s="79">
        <f t="shared" si="43"/>
        <v>7.5</v>
      </c>
      <c r="G539" s="14"/>
      <c r="H539" s="14"/>
      <c r="I539" s="14">
        <v>7.5</v>
      </c>
      <c r="J539" s="14"/>
      <c r="K539" s="162"/>
      <c r="L539" s="125" t="s">
        <v>310</v>
      </c>
    </row>
    <row r="540" spans="1:35" x14ac:dyDescent="0.2">
      <c r="A540" s="180"/>
      <c r="B540" s="193"/>
      <c r="C540" s="371"/>
      <c r="D540" s="159"/>
      <c r="E540" s="137">
        <v>2020</v>
      </c>
      <c r="F540" s="79">
        <f t="shared" si="43"/>
        <v>8</v>
      </c>
      <c r="G540" s="14"/>
      <c r="H540" s="14"/>
      <c r="I540" s="14">
        <v>8</v>
      </c>
      <c r="J540" s="14"/>
      <c r="K540" s="162"/>
    </row>
    <row r="541" spans="1:35" x14ac:dyDescent="0.2">
      <c r="A541" s="181"/>
      <c r="B541" s="200"/>
      <c r="C541" s="372"/>
      <c r="D541" s="187"/>
      <c r="E541" s="32" t="s">
        <v>18</v>
      </c>
      <c r="F541" s="89">
        <f>SUM(F535:F540)</f>
        <v>38.5</v>
      </c>
      <c r="G541" s="22"/>
      <c r="H541" s="22"/>
      <c r="I541" s="22">
        <f>SUM(I535:I540)</f>
        <v>38.5</v>
      </c>
      <c r="J541" s="28"/>
      <c r="K541" s="165"/>
    </row>
    <row r="542" spans="1:35" x14ac:dyDescent="0.2">
      <c r="A542" s="335" t="s">
        <v>97</v>
      </c>
      <c r="B542" s="175" t="s">
        <v>118</v>
      </c>
      <c r="C542" s="204" t="s">
        <v>75</v>
      </c>
      <c r="D542" s="161" t="s">
        <v>255</v>
      </c>
      <c r="E542" s="137">
        <v>2015</v>
      </c>
      <c r="F542" s="95">
        <f t="shared" ref="F542:F547" si="44">SUM(G542:I542)</f>
        <v>13.5</v>
      </c>
      <c r="G542" s="14"/>
      <c r="H542" s="14"/>
      <c r="I542" s="14">
        <v>13.5</v>
      </c>
      <c r="J542" s="14"/>
      <c r="K542" s="161" t="s">
        <v>215</v>
      </c>
    </row>
    <row r="543" spans="1:35" x14ac:dyDescent="0.2">
      <c r="A543" s="336"/>
      <c r="B543" s="193"/>
      <c r="C543" s="371"/>
      <c r="D543" s="159"/>
      <c r="E543" s="137">
        <v>2016</v>
      </c>
      <c r="F543" s="95">
        <f t="shared" si="44"/>
        <v>14</v>
      </c>
      <c r="G543" s="14"/>
      <c r="H543" s="14"/>
      <c r="I543" s="14">
        <v>14</v>
      </c>
      <c r="J543" s="14"/>
      <c r="K543" s="162"/>
    </row>
    <row r="544" spans="1:35" x14ac:dyDescent="0.2">
      <c r="A544" s="336"/>
      <c r="B544" s="193"/>
      <c r="C544" s="371"/>
      <c r="D544" s="159"/>
      <c r="E544" s="137">
        <v>2017</v>
      </c>
      <c r="F544" s="95">
        <f t="shared" si="44"/>
        <v>11.3</v>
      </c>
      <c r="G544" s="14"/>
      <c r="H544" s="14"/>
      <c r="I544" s="14">
        <f>14.5-3.2</f>
        <v>11.3</v>
      </c>
      <c r="J544" s="14"/>
      <c r="K544" s="162"/>
      <c r="L544" s="125" t="s">
        <v>292</v>
      </c>
    </row>
    <row r="545" spans="1:35" x14ac:dyDescent="0.2">
      <c r="A545" s="336"/>
      <c r="B545" s="193"/>
      <c r="C545" s="371"/>
      <c r="D545" s="159"/>
      <c r="E545" s="137">
        <v>2018</v>
      </c>
      <c r="F545" s="95">
        <f t="shared" si="44"/>
        <v>15</v>
      </c>
      <c r="G545" s="14"/>
      <c r="H545" s="14"/>
      <c r="I545" s="14">
        <v>15</v>
      </c>
      <c r="J545" s="14"/>
      <c r="K545" s="162"/>
      <c r="L545" s="125" t="s">
        <v>310</v>
      </c>
    </row>
    <row r="546" spans="1:35" x14ac:dyDescent="0.2">
      <c r="A546" s="336"/>
      <c r="B546" s="193"/>
      <c r="C546" s="371"/>
      <c r="D546" s="159"/>
      <c r="E546" s="137">
        <v>2019</v>
      </c>
      <c r="F546" s="95">
        <f t="shared" si="44"/>
        <v>15.5</v>
      </c>
      <c r="G546" s="14"/>
      <c r="H546" s="14"/>
      <c r="I546" s="14">
        <v>15.5</v>
      </c>
      <c r="J546" s="14"/>
      <c r="K546" s="162"/>
      <c r="L546" s="125" t="s">
        <v>310</v>
      </c>
    </row>
    <row r="547" spans="1:35" x14ac:dyDescent="0.2">
      <c r="A547" s="336"/>
      <c r="B547" s="193"/>
      <c r="C547" s="371"/>
      <c r="D547" s="159"/>
      <c r="E547" s="137">
        <v>2020</v>
      </c>
      <c r="F547" s="95">
        <f t="shared" si="44"/>
        <v>16</v>
      </c>
      <c r="G547" s="14"/>
      <c r="H547" s="14"/>
      <c r="I547" s="14">
        <v>16</v>
      </c>
      <c r="J547" s="14"/>
      <c r="K547" s="162"/>
    </row>
    <row r="548" spans="1:35" x14ac:dyDescent="0.2">
      <c r="A548" s="336"/>
      <c r="B548" s="193"/>
      <c r="C548" s="371"/>
      <c r="D548" s="187"/>
      <c r="E548" s="24" t="s">
        <v>18</v>
      </c>
      <c r="F548" s="20">
        <f>SUM(F542:F547)</f>
        <v>85.3</v>
      </c>
      <c r="G548" s="13"/>
      <c r="H548" s="13"/>
      <c r="I548" s="13">
        <f>SUM(I542:I547)</f>
        <v>85.3</v>
      </c>
      <c r="J548" s="14"/>
      <c r="K548" s="162"/>
    </row>
    <row r="549" spans="1:35" ht="26.25" thickBot="1" x14ac:dyDescent="0.25">
      <c r="A549" s="188" t="s">
        <v>234</v>
      </c>
      <c r="B549" s="189"/>
      <c r="C549" s="189"/>
      <c r="D549" s="189"/>
      <c r="E549" s="6" t="s">
        <v>75</v>
      </c>
      <c r="F549" s="17">
        <f>SUM(G549:I549)</f>
        <v>123.8</v>
      </c>
      <c r="G549" s="17"/>
      <c r="H549" s="17"/>
      <c r="I549" s="17">
        <f>I548+I541</f>
        <v>123.8</v>
      </c>
      <c r="J549" s="19"/>
      <c r="K549" s="138"/>
    </row>
    <row r="550" spans="1:35" ht="15" thickBot="1" x14ac:dyDescent="0.25">
      <c r="A550" s="249" t="s">
        <v>248</v>
      </c>
      <c r="B550" s="193"/>
      <c r="C550" s="193"/>
      <c r="D550" s="193"/>
      <c r="E550" s="193"/>
      <c r="F550" s="193"/>
      <c r="G550" s="193"/>
      <c r="H550" s="193"/>
      <c r="I550" s="193"/>
      <c r="J550" s="193"/>
      <c r="K550" s="193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  <c r="AB550" s="70"/>
      <c r="AC550" s="70"/>
      <c r="AD550" s="70"/>
      <c r="AE550" s="70"/>
      <c r="AF550" s="70"/>
      <c r="AG550" s="70"/>
      <c r="AH550" s="70"/>
      <c r="AI550" s="71"/>
    </row>
    <row r="551" spans="1:35" ht="15" thickBot="1" x14ac:dyDescent="0.25">
      <c r="A551" s="249" t="s">
        <v>119</v>
      </c>
      <c r="B551" s="193"/>
      <c r="C551" s="193"/>
      <c r="D551" s="193"/>
      <c r="E551" s="193"/>
      <c r="F551" s="193"/>
      <c r="G551" s="193"/>
      <c r="H551" s="193"/>
      <c r="I551" s="193"/>
      <c r="J551" s="193"/>
      <c r="K551" s="19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  <c r="AA551" s="83"/>
      <c r="AB551" s="83"/>
      <c r="AC551" s="83"/>
      <c r="AD551" s="83"/>
      <c r="AE551" s="83"/>
      <c r="AF551" s="83"/>
      <c r="AG551" s="83"/>
      <c r="AH551" s="83"/>
      <c r="AI551" s="84"/>
    </row>
    <row r="552" spans="1:35" ht="12.75" customHeight="1" x14ac:dyDescent="0.2">
      <c r="A552" s="345" t="s">
        <v>120</v>
      </c>
      <c r="B552" s="182" t="s">
        <v>262</v>
      </c>
      <c r="C552" s="204" t="s">
        <v>75</v>
      </c>
      <c r="D552" s="161" t="s">
        <v>255</v>
      </c>
      <c r="E552" s="137">
        <v>2015</v>
      </c>
      <c r="F552" s="79">
        <f t="shared" ref="F552:F557" si="45">SUM(G552:I552)</f>
        <v>230</v>
      </c>
      <c r="G552" s="14"/>
      <c r="H552" s="14"/>
      <c r="I552" s="14">
        <v>230</v>
      </c>
      <c r="J552" s="14"/>
      <c r="K552" s="161" t="s">
        <v>218</v>
      </c>
    </row>
    <row r="553" spans="1:35" x14ac:dyDescent="0.2">
      <c r="A553" s="346"/>
      <c r="B553" s="183"/>
      <c r="C553" s="371"/>
      <c r="D553" s="159"/>
      <c r="E553" s="137">
        <v>2016</v>
      </c>
      <c r="F553" s="79">
        <f t="shared" si="45"/>
        <v>245</v>
      </c>
      <c r="G553" s="14"/>
      <c r="H553" s="14"/>
      <c r="I553" s="14">
        <v>245</v>
      </c>
      <c r="J553" s="14"/>
      <c r="K553" s="162"/>
    </row>
    <row r="554" spans="1:35" x14ac:dyDescent="0.2">
      <c r="A554" s="346"/>
      <c r="B554" s="183"/>
      <c r="C554" s="371"/>
      <c r="D554" s="159"/>
      <c r="E554" s="137">
        <v>2017</v>
      </c>
      <c r="F554" s="79">
        <f t="shared" si="45"/>
        <v>210</v>
      </c>
      <c r="G554" s="14"/>
      <c r="H554" s="14"/>
      <c r="I554" s="14">
        <v>210</v>
      </c>
      <c r="J554" s="14"/>
      <c r="K554" s="162"/>
      <c r="L554" s="125" t="s">
        <v>291</v>
      </c>
    </row>
    <row r="555" spans="1:35" x14ac:dyDescent="0.2">
      <c r="A555" s="346"/>
      <c r="B555" s="183"/>
      <c r="C555" s="371"/>
      <c r="D555" s="159"/>
      <c r="E555" s="137">
        <v>2018</v>
      </c>
      <c r="F555" s="79">
        <f t="shared" si="45"/>
        <v>270</v>
      </c>
      <c r="G555" s="14"/>
      <c r="H555" s="14"/>
      <c r="I555" s="14">
        <v>270</v>
      </c>
      <c r="J555" s="14"/>
      <c r="K555" s="162"/>
      <c r="L555" s="125" t="s">
        <v>310</v>
      </c>
    </row>
    <row r="556" spans="1:35" x14ac:dyDescent="0.2">
      <c r="A556" s="346"/>
      <c r="B556" s="183"/>
      <c r="C556" s="371"/>
      <c r="D556" s="159"/>
      <c r="E556" s="137">
        <v>2019</v>
      </c>
      <c r="F556" s="79">
        <f t="shared" si="45"/>
        <v>290</v>
      </c>
      <c r="G556" s="14"/>
      <c r="H556" s="14"/>
      <c r="I556" s="14">
        <v>290</v>
      </c>
      <c r="J556" s="14"/>
      <c r="K556" s="162"/>
      <c r="L556" s="125" t="s">
        <v>310</v>
      </c>
    </row>
    <row r="557" spans="1:35" x14ac:dyDescent="0.2">
      <c r="A557" s="346"/>
      <c r="B557" s="183"/>
      <c r="C557" s="371"/>
      <c r="D557" s="159"/>
      <c r="E557" s="137">
        <v>2020</v>
      </c>
      <c r="F557" s="79">
        <f t="shared" si="45"/>
        <v>300</v>
      </c>
      <c r="G557" s="14"/>
      <c r="H557" s="14"/>
      <c r="I557" s="14">
        <v>300</v>
      </c>
      <c r="J557" s="14"/>
      <c r="K557" s="162"/>
    </row>
    <row r="558" spans="1:35" ht="13.5" thickBot="1" x14ac:dyDescent="0.25">
      <c r="A558" s="346"/>
      <c r="B558" s="370"/>
      <c r="C558" s="371"/>
      <c r="D558" s="187"/>
      <c r="E558" s="24" t="s">
        <v>18</v>
      </c>
      <c r="F558" s="21">
        <f>SUM(F552:F557)</f>
        <v>1545</v>
      </c>
      <c r="G558" s="13"/>
      <c r="H558" s="13"/>
      <c r="I558" s="13">
        <f>SUM(I552:I557)</f>
        <v>1545</v>
      </c>
      <c r="J558" s="14"/>
      <c r="K558" s="162"/>
    </row>
    <row r="559" spans="1:35" x14ac:dyDescent="0.2">
      <c r="A559" s="179" t="s">
        <v>121</v>
      </c>
      <c r="B559" s="182" t="s">
        <v>264</v>
      </c>
      <c r="C559" s="204" t="s">
        <v>75</v>
      </c>
      <c r="D559" s="161" t="s">
        <v>255</v>
      </c>
      <c r="E559" s="137">
        <v>2015</v>
      </c>
      <c r="F559" s="79">
        <f t="shared" ref="F559:F564" si="46">SUM(G559:I559)</f>
        <v>80</v>
      </c>
      <c r="G559" s="14"/>
      <c r="H559" s="14"/>
      <c r="I559" s="14">
        <v>80</v>
      </c>
      <c r="J559" s="14"/>
      <c r="K559" s="162"/>
    </row>
    <row r="560" spans="1:35" x14ac:dyDescent="0.2">
      <c r="A560" s="180"/>
      <c r="B560" s="183"/>
      <c r="C560" s="371"/>
      <c r="D560" s="159"/>
      <c r="E560" s="137">
        <v>2016</v>
      </c>
      <c r="F560" s="79">
        <f t="shared" si="46"/>
        <v>85</v>
      </c>
      <c r="G560" s="14"/>
      <c r="H560" s="14"/>
      <c r="I560" s="14">
        <v>85</v>
      </c>
      <c r="J560" s="14"/>
      <c r="K560" s="162"/>
    </row>
    <row r="561" spans="1:12" x14ac:dyDescent="0.2">
      <c r="A561" s="180"/>
      <c r="B561" s="183"/>
      <c r="C561" s="371"/>
      <c r="D561" s="159"/>
      <c r="E561" s="137">
        <v>2017</v>
      </c>
      <c r="F561" s="79">
        <f t="shared" si="46"/>
        <v>60</v>
      </c>
      <c r="G561" s="14"/>
      <c r="H561" s="14"/>
      <c r="I561" s="14">
        <v>60</v>
      </c>
      <c r="J561" s="14"/>
      <c r="K561" s="162"/>
      <c r="L561" s="125" t="s">
        <v>291</v>
      </c>
    </row>
    <row r="562" spans="1:12" x14ac:dyDescent="0.2">
      <c r="A562" s="180"/>
      <c r="B562" s="183"/>
      <c r="C562" s="371"/>
      <c r="D562" s="159"/>
      <c r="E562" s="137">
        <v>2018</v>
      </c>
      <c r="F562" s="79">
        <f t="shared" si="46"/>
        <v>95</v>
      </c>
      <c r="G562" s="14"/>
      <c r="H562" s="14"/>
      <c r="I562" s="14">
        <v>95</v>
      </c>
      <c r="J562" s="14"/>
      <c r="K562" s="162"/>
      <c r="L562" s="125" t="s">
        <v>310</v>
      </c>
    </row>
    <row r="563" spans="1:12" x14ac:dyDescent="0.2">
      <c r="A563" s="180"/>
      <c r="B563" s="183"/>
      <c r="C563" s="371"/>
      <c r="D563" s="159"/>
      <c r="E563" s="137">
        <v>2019</v>
      </c>
      <c r="F563" s="79">
        <f t="shared" si="46"/>
        <v>100</v>
      </c>
      <c r="G563" s="14"/>
      <c r="H563" s="14"/>
      <c r="I563" s="14">
        <v>100</v>
      </c>
      <c r="J563" s="14"/>
      <c r="K563" s="162"/>
      <c r="L563" s="125" t="s">
        <v>310</v>
      </c>
    </row>
    <row r="564" spans="1:12" x14ac:dyDescent="0.2">
      <c r="A564" s="180"/>
      <c r="B564" s="183"/>
      <c r="C564" s="371"/>
      <c r="D564" s="159"/>
      <c r="E564" s="137">
        <v>2020</v>
      </c>
      <c r="F564" s="79">
        <f t="shared" si="46"/>
        <v>110</v>
      </c>
      <c r="G564" s="14"/>
      <c r="H564" s="14"/>
      <c r="I564" s="14">
        <v>110</v>
      </c>
      <c r="J564" s="14"/>
      <c r="K564" s="162"/>
    </row>
    <row r="565" spans="1:12" ht="13.5" thickBot="1" x14ac:dyDescent="0.25">
      <c r="A565" s="180"/>
      <c r="B565" s="370"/>
      <c r="C565" s="371"/>
      <c r="D565" s="187"/>
      <c r="E565" s="24" t="s">
        <v>18</v>
      </c>
      <c r="F565" s="21">
        <f>SUM(F559:F564)</f>
        <v>530</v>
      </c>
      <c r="G565" s="13"/>
      <c r="H565" s="13"/>
      <c r="I565" s="13">
        <f>SUM(I559:I564)</f>
        <v>530</v>
      </c>
      <c r="J565" s="14"/>
      <c r="K565" s="165"/>
    </row>
    <row r="566" spans="1:12" x14ac:dyDescent="0.2">
      <c r="A566" s="179" t="s">
        <v>122</v>
      </c>
      <c r="B566" s="373" t="s">
        <v>263</v>
      </c>
      <c r="C566" s="204" t="s">
        <v>75</v>
      </c>
      <c r="D566" s="161" t="s">
        <v>255</v>
      </c>
      <c r="E566" s="137">
        <v>2015</v>
      </c>
      <c r="F566" s="79">
        <f t="shared" ref="F566:F571" si="47">SUM(G566:I566)</f>
        <v>47</v>
      </c>
      <c r="G566" s="14"/>
      <c r="H566" s="14"/>
      <c r="I566" s="14">
        <v>47</v>
      </c>
      <c r="J566" s="90"/>
      <c r="K566" s="161" t="s">
        <v>281</v>
      </c>
    </row>
    <row r="567" spans="1:12" x14ac:dyDescent="0.2">
      <c r="A567" s="180"/>
      <c r="B567" s="374"/>
      <c r="C567" s="371"/>
      <c r="D567" s="159"/>
      <c r="E567" s="137">
        <v>2016</v>
      </c>
      <c r="F567" s="79">
        <f t="shared" si="47"/>
        <v>50</v>
      </c>
      <c r="G567" s="14"/>
      <c r="H567" s="14"/>
      <c r="I567" s="14">
        <v>50</v>
      </c>
      <c r="J567" s="90"/>
      <c r="K567" s="162"/>
    </row>
    <row r="568" spans="1:12" x14ac:dyDescent="0.2">
      <c r="A568" s="180"/>
      <c r="B568" s="374"/>
      <c r="C568" s="371"/>
      <c r="D568" s="159"/>
      <c r="E568" s="137">
        <v>2017</v>
      </c>
      <c r="F568" s="79">
        <f t="shared" si="47"/>
        <v>40</v>
      </c>
      <c r="G568" s="14"/>
      <c r="H568" s="14"/>
      <c r="I568" s="14">
        <v>40</v>
      </c>
      <c r="J568" s="90"/>
      <c r="K568" s="162"/>
      <c r="L568" s="125" t="s">
        <v>291</v>
      </c>
    </row>
    <row r="569" spans="1:12" x14ac:dyDescent="0.2">
      <c r="A569" s="180"/>
      <c r="B569" s="374"/>
      <c r="C569" s="371"/>
      <c r="D569" s="159"/>
      <c r="E569" s="137">
        <v>2018</v>
      </c>
      <c r="F569" s="79">
        <f t="shared" si="47"/>
        <v>56</v>
      </c>
      <c r="G569" s="14"/>
      <c r="H569" s="14"/>
      <c r="I569" s="14">
        <v>56</v>
      </c>
      <c r="J569" s="90"/>
      <c r="K569" s="162"/>
      <c r="L569" s="125" t="s">
        <v>310</v>
      </c>
    </row>
    <row r="570" spans="1:12" x14ac:dyDescent="0.2">
      <c r="A570" s="180"/>
      <c r="B570" s="374"/>
      <c r="C570" s="371"/>
      <c r="D570" s="159"/>
      <c r="E570" s="137">
        <v>2019</v>
      </c>
      <c r="F570" s="79">
        <f t="shared" si="47"/>
        <v>59</v>
      </c>
      <c r="G570" s="14"/>
      <c r="H570" s="14"/>
      <c r="I570" s="14">
        <v>59</v>
      </c>
      <c r="J570" s="90"/>
      <c r="K570" s="162"/>
      <c r="L570" s="125" t="s">
        <v>310</v>
      </c>
    </row>
    <row r="571" spans="1:12" x14ac:dyDescent="0.2">
      <c r="A571" s="180"/>
      <c r="B571" s="374"/>
      <c r="C571" s="371"/>
      <c r="D571" s="159"/>
      <c r="E571" s="137">
        <v>2020</v>
      </c>
      <c r="F571" s="79">
        <f t="shared" si="47"/>
        <v>62</v>
      </c>
      <c r="G571" s="14"/>
      <c r="H571" s="14"/>
      <c r="I571" s="14">
        <v>62</v>
      </c>
      <c r="J571" s="90"/>
      <c r="K571" s="162"/>
    </row>
    <row r="572" spans="1:12" ht="13.5" thickBot="1" x14ac:dyDescent="0.25">
      <c r="A572" s="180"/>
      <c r="B572" s="375"/>
      <c r="C572" s="371"/>
      <c r="D572" s="187"/>
      <c r="E572" s="24" t="s">
        <v>18</v>
      </c>
      <c r="F572" s="21">
        <f>SUM(F566:F571)</f>
        <v>314</v>
      </c>
      <c r="G572" s="14"/>
      <c r="H572" s="14"/>
      <c r="I572" s="13">
        <f>SUM(I566:I571)</f>
        <v>314</v>
      </c>
      <c r="J572" s="90"/>
      <c r="K572" s="162"/>
    </row>
    <row r="573" spans="1:12" x14ac:dyDescent="0.2">
      <c r="A573" s="179" t="s">
        <v>123</v>
      </c>
      <c r="B573" s="182" t="s">
        <v>124</v>
      </c>
      <c r="C573" s="204" t="s">
        <v>75</v>
      </c>
      <c r="D573" s="161" t="s">
        <v>255</v>
      </c>
      <c r="E573" s="137">
        <v>2015</v>
      </c>
      <c r="F573" s="79">
        <f t="shared" ref="F573:F578" si="48">SUM(G573:I573)</f>
        <v>40.6</v>
      </c>
      <c r="G573" s="14"/>
      <c r="H573" s="14"/>
      <c r="I573" s="14">
        <v>40.6</v>
      </c>
      <c r="J573" s="14"/>
      <c r="K573" s="162"/>
    </row>
    <row r="574" spans="1:12" x14ac:dyDescent="0.2">
      <c r="A574" s="180"/>
      <c r="B574" s="183"/>
      <c r="C574" s="371"/>
      <c r="D574" s="159"/>
      <c r="E574" s="137">
        <v>2016</v>
      </c>
      <c r="F574" s="79">
        <f t="shared" si="48"/>
        <v>50</v>
      </c>
      <c r="G574" s="14"/>
      <c r="H574" s="14"/>
      <c r="I574" s="14">
        <v>50</v>
      </c>
      <c r="J574" s="14"/>
      <c r="K574" s="162"/>
    </row>
    <row r="575" spans="1:12" x14ac:dyDescent="0.2">
      <c r="A575" s="180"/>
      <c r="B575" s="183"/>
      <c r="C575" s="371"/>
      <c r="D575" s="159"/>
      <c r="E575" s="137">
        <v>2017</v>
      </c>
      <c r="F575" s="79">
        <f t="shared" si="48"/>
        <v>40</v>
      </c>
      <c r="G575" s="14"/>
      <c r="H575" s="14"/>
      <c r="I575" s="14">
        <v>40</v>
      </c>
      <c r="J575" s="14"/>
      <c r="K575" s="162"/>
      <c r="L575" s="125" t="s">
        <v>291</v>
      </c>
    </row>
    <row r="576" spans="1:12" x14ac:dyDescent="0.2">
      <c r="A576" s="180"/>
      <c r="B576" s="183"/>
      <c r="C576" s="371"/>
      <c r="D576" s="159"/>
      <c r="E576" s="137">
        <v>2018</v>
      </c>
      <c r="F576" s="79">
        <f t="shared" si="48"/>
        <v>54</v>
      </c>
      <c r="G576" s="14"/>
      <c r="H576" s="14"/>
      <c r="I576" s="14">
        <v>54</v>
      </c>
      <c r="J576" s="14"/>
      <c r="K576" s="162"/>
      <c r="L576" s="125" t="s">
        <v>310</v>
      </c>
    </row>
    <row r="577" spans="1:12" x14ac:dyDescent="0.2">
      <c r="A577" s="180"/>
      <c r="B577" s="183"/>
      <c r="C577" s="371"/>
      <c r="D577" s="159"/>
      <c r="E577" s="137">
        <v>2019</v>
      </c>
      <c r="F577" s="79">
        <f t="shared" si="48"/>
        <v>56</v>
      </c>
      <c r="G577" s="14"/>
      <c r="H577" s="14"/>
      <c r="I577" s="14">
        <v>56</v>
      </c>
      <c r="J577" s="14"/>
      <c r="K577" s="162"/>
      <c r="L577" s="125" t="s">
        <v>310</v>
      </c>
    </row>
    <row r="578" spans="1:12" x14ac:dyDescent="0.2">
      <c r="A578" s="180"/>
      <c r="B578" s="183"/>
      <c r="C578" s="371"/>
      <c r="D578" s="159"/>
      <c r="E578" s="137">
        <v>2020</v>
      </c>
      <c r="F578" s="79">
        <f t="shared" si="48"/>
        <v>58</v>
      </c>
      <c r="G578" s="14"/>
      <c r="H578" s="14"/>
      <c r="I578" s="14">
        <v>58</v>
      </c>
      <c r="J578" s="14"/>
      <c r="K578" s="162"/>
    </row>
    <row r="579" spans="1:12" ht="13.5" thickBot="1" x14ac:dyDescent="0.25">
      <c r="A579" s="180"/>
      <c r="B579" s="370"/>
      <c r="C579" s="371"/>
      <c r="D579" s="187"/>
      <c r="E579" s="24" t="s">
        <v>18</v>
      </c>
      <c r="F579" s="21">
        <f>SUM(F573:F578)</f>
        <v>298.60000000000002</v>
      </c>
      <c r="G579" s="13"/>
      <c r="H579" s="13"/>
      <c r="I579" s="13">
        <f>SUM(I573:I578)</f>
        <v>298.60000000000002</v>
      </c>
      <c r="J579" s="14"/>
      <c r="K579" s="162"/>
    </row>
    <row r="580" spans="1:12" x14ac:dyDescent="0.2">
      <c r="A580" s="179" t="s">
        <v>125</v>
      </c>
      <c r="B580" s="182" t="s">
        <v>126</v>
      </c>
      <c r="C580" s="204" t="s">
        <v>75</v>
      </c>
      <c r="D580" s="161" t="s">
        <v>255</v>
      </c>
      <c r="E580" s="137">
        <v>2015</v>
      </c>
      <c r="F580" s="79">
        <f t="shared" ref="F580:F585" si="49">SUM(G580:I580)</f>
        <v>5.0999999999999996</v>
      </c>
      <c r="G580" s="14"/>
      <c r="H580" s="14"/>
      <c r="I580" s="14">
        <v>5.0999999999999996</v>
      </c>
      <c r="J580" s="14"/>
      <c r="K580" s="162"/>
    </row>
    <row r="581" spans="1:12" x14ac:dyDescent="0.2">
      <c r="A581" s="180"/>
      <c r="B581" s="183"/>
      <c r="C581" s="371"/>
      <c r="D581" s="159"/>
      <c r="E581" s="137">
        <v>2016</v>
      </c>
      <c r="F581" s="79">
        <f t="shared" si="49"/>
        <v>5.3</v>
      </c>
      <c r="G581" s="14"/>
      <c r="H581" s="14"/>
      <c r="I581" s="14">
        <v>5.3</v>
      </c>
      <c r="J581" s="14"/>
      <c r="K581" s="162"/>
    </row>
    <row r="582" spans="1:12" x14ac:dyDescent="0.2">
      <c r="A582" s="180"/>
      <c r="B582" s="183"/>
      <c r="C582" s="371"/>
      <c r="D582" s="159"/>
      <c r="E582" s="137">
        <v>2017</v>
      </c>
      <c r="F582" s="79">
        <f t="shared" si="49"/>
        <v>5</v>
      </c>
      <c r="G582" s="14"/>
      <c r="H582" s="14"/>
      <c r="I582" s="14">
        <v>5</v>
      </c>
      <c r="J582" s="14"/>
      <c r="K582" s="162"/>
      <c r="L582" s="125" t="s">
        <v>291</v>
      </c>
    </row>
    <row r="583" spans="1:12" x14ac:dyDescent="0.2">
      <c r="A583" s="180"/>
      <c r="B583" s="183"/>
      <c r="C583" s="371"/>
      <c r="D583" s="159"/>
      <c r="E583" s="137">
        <v>2018</v>
      </c>
      <c r="F583" s="79">
        <f t="shared" si="49"/>
        <v>5.7</v>
      </c>
      <c r="G583" s="14"/>
      <c r="H583" s="14"/>
      <c r="I583" s="14">
        <v>5.7</v>
      </c>
      <c r="J583" s="14"/>
      <c r="K583" s="162"/>
      <c r="L583" s="125" t="s">
        <v>310</v>
      </c>
    </row>
    <row r="584" spans="1:12" x14ac:dyDescent="0.2">
      <c r="A584" s="180"/>
      <c r="B584" s="183"/>
      <c r="C584" s="371"/>
      <c r="D584" s="159"/>
      <c r="E584" s="137">
        <v>2019</v>
      </c>
      <c r="F584" s="79">
        <f t="shared" si="49"/>
        <v>5.9</v>
      </c>
      <c r="G584" s="14"/>
      <c r="H584" s="14"/>
      <c r="I584" s="14">
        <v>5.9</v>
      </c>
      <c r="J584" s="14"/>
      <c r="K584" s="162"/>
      <c r="L584" s="125" t="s">
        <v>310</v>
      </c>
    </row>
    <row r="585" spans="1:12" x14ac:dyDescent="0.2">
      <c r="A585" s="180"/>
      <c r="B585" s="183"/>
      <c r="C585" s="371"/>
      <c r="D585" s="159"/>
      <c r="E585" s="137">
        <v>2020</v>
      </c>
      <c r="F585" s="79">
        <f t="shared" si="49"/>
        <v>6.1</v>
      </c>
      <c r="G585" s="14"/>
      <c r="H585" s="14"/>
      <c r="I585" s="14">
        <v>6.1</v>
      </c>
      <c r="J585" s="14"/>
      <c r="K585" s="162"/>
    </row>
    <row r="586" spans="1:12" ht="13.5" thickBot="1" x14ac:dyDescent="0.25">
      <c r="A586" s="180"/>
      <c r="B586" s="370"/>
      <c r="C586" s="372"/>
      <c r="D586" s="187"/>
      <c r="E586" s="24" t="s">
        <v>18</v>
      </c>
      <c r="F586" s="21">
        <f>SUM(F580:F585)</f>
        <v>33.1</v>
      </c>
      <c r="G586" s="13"/>
      <c r="H586" s="13"/>
      <c r="I586" s="13">
        <f>SUM(I580:I585)</f>
        <v>33.1</v>
      </c>
      <c r="J586" s="14"/>
      <c r="K586" s="162"/>
    </row>
    <row r="587" spans="1:12" x14ac:dyDescent="0.2">
      <c r="A587" s="179" t="s">
        <v>278</v>
      </c>
      <c r="B587" s="182" t="s">
        <v>128</v>
      </c>
      <c r="C587" s="204" t="s">
        <v>75</v>
      </c>
      <c r="D587" s="161" t="s">
        <v>255</v>
      </c>
      <c r="E587" s="137">
        <v>2015</v>
      </c>
      <c r="F587" s="79">
        <f t="shared" ref="F587:F592" si="50">SUM(G587:I587)</f>
        <v>4.5</v>
      </c>
      <c r="G587" s="14"/>
      <c r="H587" s="14"/>
      <c r="I587" s="14">
        <v>4.5</v>
      </c>
      <c r="J587" s="14"/>
      <c r="K587" s="162"/>
    </row>
    <row r="588" spans="1:12" x14ac:dyDescent="0.2">
      <c r="A588" s="180"/>
      <c r="B588" s="183"/>
      <c r="C588" s="371"/>
      <c r="D588" s="159"/>
      <c r="E588" s="137">
        <v>2016</v>
      </c>
      <c r="F588" s="79">
        <f t="shared" si="50"/>
        <v>4.5999999999999996</v>
      </c>
      <c r="G588" s="14"/>
      <c r="H588" s="14"/>
      <c r="I588" s="14">
        <v>4.5999999999999996</v>
      </c>
      <c r="J588" s="14"/>
      <c r="K588" s="162"/>
    </row>
    <row r="589" spans="1:12" x14ac:dyDescent="0.2">
      <c r="A589" s="180"/>
      <c r="B589" s="183"/>
      <c r="C589" s="371"/>
      <c r="D589" s="159"/>
      <c r="E589" s="137">
        <v>2017</v>
      </c>
      <c r="F589" s="79">
        <f t="shared" si="50"/>
        <v>4</v>
      </c>
      <c r="G589" s="14"/>
      <c r="H589" s="14"/>
      <c r="I589" s="14">
        <v>4</v>
      </c>
      <c r="J589" s="14"/>
      <c r="K589" s="162"/>
      <c r="L589" s="125" t="s">
        <v>291</v>
      </c>
    </row>
    <row r="590" spans="1:12" x14ac:dyDescent="0.2">
      <c r="A590" s="180"/>
      <c r="B590" s="183"/>
      <c r="C590" s="371"/>
      <c r="D590" s="159"/>
      <c r="E590" s="137">
        <v>2018</v>
      </c>
      <c r="F590" s="79">
        <f t="shared" si="50"/>
        <v>4.8</v>
      </c>
      <c r="G590" s="14"/>
      <c r="H590" s="14"/>
      <c r="I590" s="14">
        <v>4.8</v>
      </c>
      <c r="J590" s="14"/>
      <c r="K590" s="162"/>
      <c r="L590" s="125" t="s">
        <v>310</v>
      </c>
    </row>
    <row r="591" spans="1:12" x14ac:dyDescent="0.2">
      <c r="A591" s="180"/>
      <c r="B591" s="183"/>
      <c r="C591" s="371"/>
      <c r="D591" s="159"/>
      <c r="E591" s="137">
        <v>2019</v>
      </c>
      <c r="F591" s="79">
        <f t="shared" si="50"/>
        <v>4.9000000000000004</v>
      </c>
      <c r="G591" s="14"/>
      <c r="H591" s="14"/>
      <c r="I591" s="14">
        <v>4.9000000000000004</v>
      </c>
      <c r="J591" s="14"/>
      <c r="K591" s="162"/>
      <c r="L591" s="125" t="s">
        <v>310</v>
      </c>
    </row>
    <row r="592" spans="1:12" x14ac:dyDescent="0.2">
      <c r="A592" s="180"/>
      <c r="B592" s="183"/>
      <c r="C592" s="371"/>
      <c r="D592" s="159"/>
      <c r="E592" s="137">
        <v>2020</v>
      </c>
      <c r="F592" s="79">
        <f t="shared" si="50"/>
        <v>5</v>
      </c>
      <c r="G592" s="14"/>
      <c r="H592" s="14"/>
      <c r="I592" s="14">
        <v>5</v>
      </c>
      <c r="J592" s="14"/>
      <c r="K592" s="162"/>
    </row>
    <row r="593" spans="1:35" ht="13.5" thickBot="1" x14ac:dyDescent="0.25">
      <c r="A593" s="180"/>
      <c r="B593" s="370"/>
      <c r="C593" s="372"/>
      <c r="D593" s="187"/>
      <c r="E593" s="24" t="s">
        <v>18</v>
      </c>
      <c r="F593" s="21">
        <f>SUM(F587:F592)</f>
        <v>27.799999999999997</v>
      </c>
      <c r="G593" s="13"/>
      <c r="H593" s="13"/>
      <c r="I593" s="13">
        <f>SUM(I587:I592)</f>
        <v>27.799999999999997</v>
      </c>
      <c r="J593" s="14"/>
      <c r="K593" s="165"/>
    </row>
    <row r="594" spans="1:35" x14ac:dyDescent="0.2">
      <c r="A594" s="179" t="s">
        <v>127</v>
      </c>
      <c r="B594" s="182" t="s">
        <v>0</v>
      </c>
      <c r="C594" s="204" t="s">
        <v>75</v>
      </c>
      <c r="D594" s="161" t="s">
        <v>255</v>
      </c>
      <c r="E594" s="137">
        <v>2015</v>
      </c>
      <c r="F594" s="80"/>
      <c r="G594" s="2"/>
      <c r="H594" s="2"/>
      <c r="I594" s="2"/>
      <c r="J594" s="2"/>
      <c r="K594" s="161" t="s">
        <v>219</v>
      </c>
    </row>
    <row r="595" spans="1:35" x14ac:dyDescent="0.2">
      <c r="A595" s="180"/>
      <c r="B595" s="183"/>
      <c r="C595" s="371"/>
      <c r="D595" s="159"/>
      <c r="E595" s="137">
        <v>2016</v>
      </c>
      <c r="F595" s="80"/>
      <c r="G595" s="2"/>
      <c r="H595" s="2"/>
      <c r="I595" s="2"/>
      <c r="J595" s="2"/>
      <c r="K595" s="162"/>
    </row>
    <row r="596" spans="1:35" x14ac:dyDescent="0.2">
      <c r="A596" s="180"/>
      <c r="B596" s="183"/>
      <c r="C596" s="371"/>
      <c r="D596" s="159"/>
      <c r="E596" s="137">
        <v>2017</v>
      </c>
      <c r="F596" s="80"/>
      <c r="G596" s="2"/>
      <c r="H596" s="2"/>
      <c r="I596" s="2"/>
      <c r="J596" s="2"/>
      <c r="K596" s="162"/>
    </row>
    <row r="597" spans="1:35" x14ac:dyDescent="0.2">
      <c r="A597" s="180"/>
      <c r="B597" s="183"/>
      <c r="C597" s="371"/>
      <c r="D597" s="159"/>
      <c r="E597" s="137">
        <v>2018</v>
      </c>
      <c r="F597" s="80"/>
      <c r="G597" s="2"/>
      <c r="H597" s="2"/>
      <c r="I597" s="2"/>
      <c r="J597" s="2"/>
      <c r="K597" s="162"/>
    </row>
    <row r="598" spans="1:35" x14ac:dyDescent="0.2">
      <c r="A598" s="180"/>
      <c r="B598" s="183"/>
      <c r="C598" s="371"/>
      <c r="D598" s="159"/>
      <c r="E598" s="137">
        <v>2019</v>
      </c>
      <c r="F598" s="80"/>
      <c r="G598" s="2"/>
      <c r="H598" s="2"/>
      <c r="I598" s="2"/>
      <c r="J598" s="2"/>
      <c r="K598" s="162"/>
    </row>
    <row r="599" spans="1:35" x14ac:dyDescent="0.2">
      <c r="A599" s="180"/>
      <c r="B599" s="183"/>
      <c r="C599" s="371"/>
      <c r="D599" s="159"/>
      <c r="E599" s="137">
        <v>2020</v>
      </c>
      <c r="F599" s="80"/>
      <c r="G599" s="2"/>
      <c r="H599" s="2"/>
      <c r="I599" s="2"/>
      <c r="J599" s="2"/>
      <c r="K599" s="162"/>
    </row>
    <row r="600" spans="1:35" x14ac:dyDescent="0.2">
      <c r="A600" s="181"/>
      <c r="B600" s="183"/>
      <c r="C600" s="372"/>
      <c r="D600" s="187"/>
      <c r="E600" s="24" t="s">
        <v>18</v>
      </c>
      <c r="F600" s="80"/>
      <c r="G600" s="2"/>
      <c r="H600" s="2"/>
      <c r="I600" s="2"/>
      <c r="J600" s="2"/>
      <c r="K600" s="165"/>
    </row>
    <row r="601" spans="1:35" ht="25.5" x14ac:dyDescent="0.2">
      <c r="A601" s="201" t="s">
        <v>236</v>
      </c>
      <c r="B601" s="209"/>
      <c r="C601" s="209"/>
      <c r="D601" s="209"/>
      <c r="E601" s="61" t="s">
        <v>75</v>
      </c>
      <c r="F601" s="20">
        <f>SUM(G601:I601)</f>
        <v>2748.5</v>
      </c>
      <c r="G601" s="20"/>
      <c r="H601" s="20"/>
      <c r="I601" s="20">
        <f>I593+I586+I579+I572+I565+I558</f>
        <v>2748.5</v>
      </c>
      <c r="J601" s="18"/>
      <c r="K601" s="91"/>
    </row>
    <row r="602" spans="1:35" ht="47.25" x14ac:dyDescent="0.25">
      <c r="A602" s="281" t="s">
        <v>249</v>
      </c>
      <c r="B602" s="364"/>
      <c r="C602" s="364"/>
      <c r="D602" s="365"/>
      <c r="E602" s="104" t="s">
        <v>75</v>
      </c>
      <c r="F602" s="104" t="s">
        <v>18</v>
      </c>
      <c r="G602" s="105" t="s">
        <v>10</v>
      </c>
      <c r="H602" s="97" t="s">
        <v>11</v>
      </c>
      <c r="I602" s="97" t="s">
        <v>12</v>
      </c>
      <c r="J602" s="97" t="s">
        <v>13</v>
      </c>
      <c r="K602" s="58"/>
    </row>
    <row r="603" spans="1:35" ht="16.5" thickBot="1" x14ac:dyDescent="0.3">
      <c r="A603" s="136"/>
      <c r="B603" s="139"/>
      <c r="C603" s="139"/>
      <c r="D603" s="139"/>
      <c r="E603" s="106"/>
      <c r="F603" s="23">
        <f>SUM(G603:J603)</f>
        <v>73607.100000000006</v>
      </c>
      <c r="G603" s="23"/>
      <c r="H603" s="11">
        <f>H484</f>
        <v>66961.5</v>
      </c>
      <c r="I603" s="11">
        <f>I601+I549+I532+I515+I484</f>
        <v>6645.6</v>
      </c>
      <c r="J603" s="92"/>
      <c r="K603" s="58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</row>
    <row r="604" spans="1:35" ht="18" x14ac:dyDescent="0.2">
      <c r="A604" s="316" t="s">
        <v>267</v>
      </c>
      <c r="B604" s="317"/>
      <c r="C604" s="317"/>
      <c r="D604" s="317"/>
      <c r="E604" s="317"/>
      <c r="F604" s="317"/>
      <c r="G604" s="317"/>
      <c r="H604" s="317"/>
      <c r="I604" s="317"/>
      <c r="J604" s="317"/>
      <c r="K604" s="31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5"/>
      <c r="X604" s="45"/>
      <c r="Y604" s="45"/>
      <c r="Z604" s="45"/>
      <c r="AA604" s="45"/>
      <c r="AB604" s="45"/>
      <c r="AC604" s="45"/>
      <c r="AD604" s="45"/>
      <c r="AE604" s="45"/>
      <c r="AF604" s="45"/>
      <c r="AG604" s="45"/>
      <c r="AH604" s="45"/>
      <c r="AI604" s="46"/>
    </row>
    <row r="605" spans="1:35" ht="16.5" thickBot="1" x14ac:dyDescent="0.25">
      <c r="A605" s="392" t="s">
        <v>250</v>
      </c>
      <c r="B605" s="393"/>
      <c r="C605" s="393"/>
      <c r="D605" s="393"/>
      <c r="E605" s="338"/>
      <c r="F605" s="338"/>
      <c r="G605" s="338"/>
      <c r="H605" s="338"/>
      <c r="I605" s="338"/>
      <c r="J605" s="338"/>
      <c r="K605" s="338"/>
      <c r="L605" s="64"/>
      <c r="M605" s="64"/>
      <c r="N605" s="64"/>
      <c r="O605" s="64"/>
      <c r="P605" s="64"/>
      <c r="Q605" s="64"/>
      <c r="R605" s="64"/>
      <c r="S605" s="64"/>
      <c r="T605" s="64"/>
      <c r="U605" s="64"/>
      <c r="V605" s="64"/>
      <c r="W605" s="93"/>
      <c r="X605" s="93"/>
      <c r="Y605" s="93"/>
      <c r="Z605" s="93"/>
      <c r="AA605" s="93"/>
      <c r="AB605" s="93"/>
      <c r="AC605" s="93"/>
      <c r="AD605" s="93"/>
      <c r="AE605" s="93"/>
      <c r="AF605" s="93"/>
      <c r="AG605" s="93"/>
      <c r="AH605" s="93"/>
      <c r="AI605" s="94"/>
    </row>
    <row r="606" spans="1:35" x14ac:dyDescent="0.2">
      <c r="A606" s="335" t="s">
        <v>129</v>
      </c>
      <c r="B606" s="175" t="s">
        <v>130</v>
      </c>
      <c r="C606" s="184" t="s">
        <v>75</v>
      </c>
      <c r="D606" s="161" t="s">
        <v>255</v>
      </c>
      <c r="E606" s="137">
        <v>2015</v>
      </c>
      <c r="F606" s="95">
        <f t="shared" ref="F606:F611" si="51">SUM(G606:J606)</f>
        <v>4484.7</v>
      </c>
      <c r="G606" s="14"/>
      <c r="H606" s="14"/>
      <c r="I606" s="14">
        <v>4092.2</v>
      </c>
      <c r="J606" s="14">
        <v>392.5</v>
      </c>
      <c r="K606" s="161" t="s">
        <v>216</v>
      </c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</row>
    <row r="607" spans="1:35" x14ac:dyDescent="0.2">
      <c r="A607" s="336"/>
      <c r="B607" s="193"/>
      <c r="C607" s="185"/>
      <c r="D607" s="159"/>
      <c r="E607" s="137">
        <v>2016</v>
      </c>
      <c r="F607" s="95">
        <f t="shared" si="51"/>
        <v>4690</v>
      </c>
      <c r="G607" s="14"/>
      <c r="H607" s="14"/>
      <c r="I607" s="14">
        <f>3801.5+222.3-0.4</f>
        <v>4023.4</v>
      </c>
      <c r="J607" s="14">
        <f>58.3+608.3</f>
        <v>666.59999999999991</v>
      </c>
      <c r="K607" s="162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</row>
    <row r="608" spans="1:35" x14ac:dyDescent="0.2">
      <c r="A608" s="336"/>
      <c r="B608" s="193"/>
      <c r="C608" s="185"/>
      <c r="D608" s="159"/>
      <c r="E608" s="137">
        <v>2017</v>
      </c>
      <c r="F608" s="95">
        <f t="shared" si="51"/>
        <v>4054</v>
      </c>
      <c r="G608" s="14"/>
      <c r="H608" s="14"/>
      <c r="I608" s="14">
        <v>3992.8</v>
      </c>
      <c r="J608" s="14">
        <v>61.2</v>
      </c>
      <c r="K608" s="162"/>
      <c r="L608" s="125" t="s">
        <v>310</v>
      </c>
    </row>
    <row r="609" spans="1:12" x14ac:dyDescent="0.2">
      <c r="A609" s="336"/>
      <c r="B609" s="193"/>
      <c r="C609" s="185"/>
      <c r="D609" s="159"/>
      <c r="E609" s="137">
        <v>2018</v>
      </c>
      <c r="F609" s="95">
        <f t="shared" si="51"/>
        <v>327</v>
      </c>
      <c r="G609" s="14"/>
      <c r="H609" s="14"/>
      <c r="I609" s="14">
        <v>262.7</v>
      </c>
      <c r="J609" s="14">
        <v>64.3</v>
      </c>
      <c r="K609" s="162"/>
      <c r="L609" s="125" t="s">
        <v>310</v>
      </c>
    </row>
    <row r="610" spans="1:12" x14ac:dyDescent="0.2">
      <c r="A610" s="336"/>
      <c r="B610" s="193"/>
      <c r="C610" s="185"/>
      <c r="D610" s="159"/>
      <c r="E610" s="137">
        <v>2019</v>
      </c>
      <c r="F610" s="95">
        <f t="shared" si="51"/>
        <v>343.3</v>
      </c>
      <c r="G610" s="14"/>
      <c r="H610" s="14"/>
      <c r="I610" s="14">
        <v>275.8</v>
      </c>
      <c r="J610" s="14">
        <v>67.5</v>
      </c>
      <c r="K610" s="162"/>
      <c r="L610" s="125" t="s">
        <v>310</v>
      </c>
    </row>
    <row r="611" spans="1:12" x14ac:dyDescent="0.2">
      <c r="A611" s="336"/>
      <c r="B611" s="193"/>
      <c r="C611" s="185"/>
      <c r="D611" s="159"/>
      <c r="E611" s="137">
        <v>2020</v>
      </c>
      <c r="F611" s="95">
        <f t="shared" si="51"/>
        <v>360.5</v>
      </c>
      <c r="G611" s="14"/>
      <c r="H611" s="14"/>
      <c r="I611" s="14">
        <v>289.60000000000002</v>
      </c>
      <c r="J611" s="14">
        <v>70.900000000000006</v>
      </c>
      <c r="K611" s="162"/>
    </row>
    <row r="612" spans="1:12" ht="13.5" thickBot="1" x14ac:dyDescent="0.25">
      <c r="A612" s="336"/>
      <c r="B612" s="193"/>
      <c r="C612" s="185"/>
      <c r="D612" s="187"/>
      <c r="E612" s="24" t="s">
        <v>18</v>
      </c>
      <c r="F612" s="20">
        <f>SUM(F606:F611)</f>
        <v>14259.5</v>
      </c>
      <c r="G612" s="20">
        <f>SUM(G606:G611)</f>
        <v>0</v>
      </c>
      <c r="H612" s="20">
        <f>SUM(H606:H611)</f>
        <v>0</v>
      </c>
      <c r="I612" s="20">
        <f>SUM(I606:I611)</f>
        <v>12936.500000000002</v>
      </c>
      <c r="J612" s="20">
        <f>SUM(J606:J611)</f>
        <v>1323</v>
      </c>
      <c r="K612" s="162"/>
    </row>
    <row r="613" spans="1:12" x14ac:dyDescent="0.2">
      <c r="A613" s="394" t="s">
        <v>131</v>
      </c>
      <c r="B613" s="397" t="s">
        <v>132</v>
      </c>
      <c r="C613" s="184" t="s">
        <v>75</v>
      </c>
      <c r="D613" s="161" t="s">
        <v>255</v>
      </c>
      <c r="E613" s="137">
        <v>2015</v>
      </c>
      <c r="F613" s="95">
        <f t="shared" ref="F613:F618" si="52">SUM(G613:J613)</f>
        <v>448.20000000000005</v>
      </c>
      <c r="G613" s="14"/>
      <c r="H613" s="14"/>
      <c r="I613" s="14">
        <v>251.4</v>
      </c>
      <c r="J613" s="14">
        <v>196.8</v>
      </c>
      <c r="K613" s="162"/>
    </row>
    <row r="614" spans="1:12" x14ac:dyDescent="0.2">
      <c r="A614" s="395"/>
      <c r="B614" s="398"/>
      <c r="C614" s="185"/>
      <c r="D614" s="159"/>
      <c r="E614" s="137">
        <v>2016</v>
      </c>
      <c r="F614" s="95">
        <f t="shared" si="52"/>
        <v>478.19999999999993</v>
      </c>
      <c r="G614" s="14"/>
      <c r="H614" s="14"/>
      <c r="I614" s="14">
        <f>414.2-142.9</f>
        <v>271.29999999999995</v>
      </c>
      <c r="J614" s="14">
        <f>206.6+0.3</f>
        <v>206.9</v>
      </c>
      <c r="K614" s="162"/>
    </row>
    <row r="615" spans="1:12" x14ac:dyDescent="0.2">
      <c r="A615" s="395"/>
      <c r="B615" s="398"/>
      <c r="C615" s="185"/>
      <c r="D615" s="159"/>
      <c r="E615" s="137">
        <v>2017</v>
      </c>
      <c r="F615" s="95">
        <f t="shared" si="52"/>
        <v>656.9</v>
      </c>
      <c r="G615" s="14"/>
      <c r="H615" s="14"/>
      <c r="I615" s="14">
        <v>440</v>
      </c>
      <c r="J615" s="14">
        <v>216.9</v>
      </c>
      <c r="K615" s="162"/>
      <c r="L615" s="125" t="s">
        <v>310</v>
      </c>
    </row>
    <row r="616" spans="1:12" x14ac:dyDescent="0.2">
      <c r="A616" s="395"/>
      <c r="B616" s="398"/>
      <c r="C616" s="185"/>
      <c r="D616" s="159"/>
      <c r="E616" s="137">
        <v>2018</v>
      </c>
      <c r="F616" s="95">
        <f t="shared" si="52"/>
        <v>706.2</v>
      </c>
      <c r="G616" s="14"/>
      <c r="H616" s="14"/>
      <c r="I616" s="14">
        <v>478.5</v>
      </c>
      <c r="J616" s="14">
        <v>227.7</v>
      </c>
      <c r="K616" s="162"/>
      <c r="L616" s="125" t="s">
        <v>310</v>
      </c>
    </row>
    <row r="617" spans="1:12" x14ac:dyDescent="0.2">
      <c r="A617" s="395"/>
      <c r="B617" s="398"/>
      <c r="C617" s="185"/>
      <c r="D617" s="159"/>
      <c r="E617" s="137">
        <v>2019</v>
      </c>
      <c r="F617" s="95">
        <f t="shared" si="52"/>
        <v>741.5</v>
      </c>
      <c r="G617" s="14"/>
      <c r="H617" s="14"/>
      <c r="I617" s="14">
        <v>502.4</v>
      </c>
      <c r="J617" s="14">
        <v>239.1</v>
      </c>
      <c r="K617" s="162"/>
      <c r="L617" s="125" t="s">
        <v>310</v>
      </c>
    </row>
    <row r="618" spans="1:12" x14ac:dyDescent="0.2">
      <c r="A618" s="395"/>
      <c r="B618" s="398"/>
      <c r="C618" s="185"/>
      <c r="D618" s="159"/>
      <c r="E618" s="137">
        <v>2020</v>
      </c>
      <c r="F618" s="95">
        <f t="shared" si="52"/>
        <v>778.5</v>
      </c>
      <c r="G618" s="14"/>
      <c r="H618" s="14"/>
      <c r="I618" s="14">
        <v>527.5</v>
      </c>
      <c r="J618" s="14">
        <v>251</v>
      </c>
      <c r="K618" s="162"/>
    </row>
    <row r="619" spans="1:12" ht="13.5" thickBot="1" x14ac:dyDescent="0.25">
      <c r="A619" s="396"/>
      <c r="B619" s="398"/>
      <c r="C619" s="186"/>
      <c r="D619" s="187"/>
      <c r="E619" s="24" t="s">
        <v>18</v>
      </c>
      <c r="F619" s="20">
        <f>SUM(F613:F618)</f>
        <v>3809.5</v>
      </c>
      <c r="G619" s="20">
        <f>SUM(G613:G618)</f>
        <v>0</v>
      </c>
      <c r="H619" s="20">
        <f>SUM(H613:H618)</f>
        <v>0</v>
      </c>
      <c r="I619" s="20">
        <f>SUM(I613:I618)</f>
        <v>2471.1</v>
      </c>
      <c r="J619" s="20">
        <f>SUM(J613:J618)</f>
        <v>1338.3999999999999</v>
      </c>
      <c r="K619" s="162"/>
    </row>
    <row r="620" spans="1:12" x14ac:dyDescent="0.2">
      <c r="A620" s="389" t="s">
        <v>133</v>
      </c>
      <c r="B620" s="224" t="s">
        <v>134</v>
      </c>
      <c r="C620" s="184" t="s">
        <v>75</v>
      </c>
      <c r="D620" s="161" t="s">
        <v>255</v>
      </c>
      <c r="E620" s="137">
        <v>2015</v>
      </c>
      <c r="F620" s="95">
        <f t="shared" ref="F620:F625" si="53">SUM(G620:J620)</f>
        <v>402.69999999999993</v>
      </c>
      <c r="G620" s="14"/>
      <c r="H620" s="14"/>
      <c r="I620" s="14">
        <f>344.4+6.9</f>
        <v>351.29999999999995</v>
      </c>
      <c r="J620" s="14">
        <v>51.4</v>
      </c>
      <c r="K620" s="162"/>
    </row>
    <row r="621" spans="1:12" x14ac:dyDescent="0.2">
      <c r="A621" s="390"/>
      <c r="B621" s="224"/>
      <c r="C621" s="185"/>
      <c r="D621" s="159"/>
      <c r="E621" s="137">
        <v>2016</v>
      </c>
      <c r="F621" s="95">
        <f t="shared" si="53"/>
        <v>681.2</v>
      </c>
      <c r="G621" s="14"/>
      <c r="H621" s="14"/>
      <c r="I621" s="14">
        <f>363.3+262.6</f>
        <v>625.90000000000009</v>
      </c>
      <c r="J621" s="14">
        <f>54+1.3</f>
        <v>55.3</v>
      </c>
      <c r="K621" s="162"/>
    </row>
    <row r="622" spans="1:12" x14ac:dyDescent="0.2">
      <c r="A622" s="390"/>
      <c r="B622" s="224"/>
      <c r="C622" s="185"/>
      <c r="D622" s="159"/>
      <c r="E622" s="137">
        <v>2017</v>
      </c>
      <c r="F622" s="95">
        <f t="shared" si="53"/>
        <v>440</v>
      </c>
      <c r="G622" s="14"/>
      <c r="H622" s="14"/>
      <c r="I622" s="14">
        <v>383.3</v>
      </c>
      <c r="J622" s="14">
        <v>56.7</v>
      </c>
      <c r="K622" s="162"/>
      <c r="L622" s="125" t="s">
        <v>310</v>
      </c>
    </row>
    <row r="623" spans="1:12" x14ac:dyDescent="0.2">
      <c r="A623" s="390"/>
      <c r="B623" s="224"/>
      <c r="C623" s="185"/>
      <c r="D623" s="159"/>
      <c r="E623" s="137">
        <v>2018</v>
      </c>
      <c r="F623" s="95">
        <f t="shared" si="53"/>
        <v>453</v>
      </c>
      <c r="G623" s="14"/>
      <c r="H623" s="14"/>
      <c r="I623" s="14">
        <v>393.5</v>
      </c>
      <c r="J623" s="14">
        <v>59.5</v>
      </c>
      <c r="K623" s="162"/>
      <c r="L623" s="125" t="s">
        <v>310</v>
      </c>
    </row>
    <row r="624" spans="1:12" x14ac:dyDescent="0.2">
      <c r="A624" s="390"/>
      <c r="B624" s="224"/>
      <c r="C624" s="185"/>
      <c r="D624" s="159"/>
      <c r="E624" s="137">
        <v>2019</v>
      </c>
      <c r="F624" s="95">
        <f t="shared" si="53"/>
        <v>475.7</v>
      </c>
      <c r="G624" s="14"/>
      <c r="H624" s="14"/>
      <c r="I624" s="14">
        <v>413.2</v>
      </c>
      <c r="J624" s="14">
        <v>62.5</v>
      </c>
      <c r="K624" s="162"/>
      <c r="L624" s="125" t="s">
        <v>310</v>
      </c>
    </row>
    <row r="625" spans="1:14" x14ac:dyDescent="0.2">
      <c r="A625" s="390"/>
      <c r="B625" s="224"/>
      <c r="C625" s="185"/>
      <c r="D625" s="159"/>
      <c r="E625" s="137">
        <v>2020</v>
      </c>
      <c r="F625" s="95">
        <f t="shared" si="53"/>
        <v>492.7</v>
      </c>
      <c r="G625" s="14"/>
      <c r="H625" s="14"/>
      <c r="I625" s="14">
        <f>433.9-6.9</f>
        <v>427</v>
      </c>
      <c r="J625" s="14">
        <v>65.7</v>
      </c>
      <c r="K625" s="162"/>
    </row>
    <row r="626" spans="1:14" ht="13.5" thickBot="1" x14ac:dyDescent="0.25">
      <c r="A626" s="391"/>
      <c r="B626" s="224"/>
      <c r="C626" s="185"/>
      <c r="D626" s="187"/>
      <c r="E626" s="24" t="s">
        <v>18</v>
      </c>
      <c r="F626" s="20">
        <f>SUM(F620:F625)</f>
        <v>2945.2999999999997</v>
      </c>
      <c r="G626" s="20">
        <f>SUM(G620:G625)</f>
        <v>0</v>
      </c>
      <c r="H626" s="20">
        <f>SUM(H620:H625)</f>
        <v>0</v>
      </c>
      <c r="I626" s="20">
        <f>SUM(I620:I625)</f>
        <v>2594.1999999999998</v>
      </c>
      <c r="J626" s="20">
        <f>SUM(J620:J625)</f>
        <v>351.09999999999997</v>
      </c>
      <c r="K626" s="162"/>
    </row>
    <row r="627" spans="1:14" x14ac:dyDescent="0.2">
      <c r="A627" s="389" t="s">
        <v>135</v>
      </c>
      <c r="B627" s="182" t="s">
        <v>136</v>
      </c>
      <c r="C627" s="184" t="s">
        <v>75</v>
      </c>
      <c r="D627" s="161" t="s">
        <v>255</v>
      </c>
      <c r="E627" s="137">
        <v>2015</v>
      </c>
      <c r="F627" s="95">
        <f t="shared" ref="F627:F632" si="54">SUM(G627:J627)</f>
        <v>2265.3000000000002</v>
      </c>
      <c r="G627" s="14"/>
      <c r="H627" s="14"/>
      <c r="I627" s="14">
        <v>2265.3000000000002</v>
      </c>
      <c r="J627" s="14"/>
      <c r="K627" s="162"/>
    </row>
    <row r="628" spans="1:14" x14ac:dyDescent="0.2">
      <c r="A628" s="390"/>
      <c r="B628" s="183"/>
      <c r="C628" s="185"/>
      <c r="D628" s="159"/>
      <c r="E628" s="137">
        <v>2016</v>
      </c>
      <c r="F628" s="95">
        <f t="shared" si="54"/>
        <v>2244.6999999999998</v>
      </c>
      <c r="G628" s="14"/>
      <c r="H628" s="14"/>
      <c r="I628" s="14">
        <f>2295.7-51</f>
        <v>2244.6999999999998</v>
      </c>
      <c r="J628" s="14"/>
      <c r="K628" s="162"/>
    </row>
    <row r="629" spans="1:14" x14ac:dyDescent="0.2">
      <c r="A629" s="390"/>
      <c r="B629" s="183"/>
      <c r="C629" s="185"/>
      <c r="D629" s="159"/>
      <c r="E629" s="137">
        <v>2017</v>
      </c>
      <c r="F629" s="95">
        <f t="shared" si="54"/>
        <v>2319</v>
      </c>
      <c r="G629" s="14"/>
      <c r="H629" s="14"/>
      <c r="I629" s="14">
        <f>2576.6-257.6</f>
        <v>2319</v>
      </c>
      <c r="J629" s="14"/>
      <c r="K629" s="162"/>
      <c r="L629" s="125" t="s">
        <v>292</v>
      </c>
      <c r="N629" s="132"/>
    </row>
    <row r="630" spans="1:14" x14ac:dyDescent="0.2">
      <c r="A630" s="390"/>
      <c r="B630" s="183"/>
      <c r="C630" s="185"/>
      <c r="D630" s="159"/>
      <c r="E630" s="137">
        <v>2018</v>
      </c>
      <c r="F630" s="95">
        <f t="shared" si="54"/>
        <v>2703.3</v>
      </c>
      <c r="G630" s="14"/>
      <c r="H630" s="14"/>
      <c r="I630" s="14">
        <v>2703.3</v>
      </c>
      <c r="J630" s="14"/>
      <c r="K630" s="162"/>
      <c r="L630" s="125" t="s">
        <v>310</v>
      </c>
    </row>
    <row r="631" spans="1:14" x14ac:dyDescent="0.2">
      <c r="A631" s="390"/>
      <c r="B631" s="183"/>
      <c r="C631" s="185"/>
      <c r="D631" s="159"/>
      <c r="E631" s="137">
        <v>2019</v>
      </c>
      <c r="F631" s="95">
        <f t="shared" si="54"/>
        <v>2841.6</v>
      </c>
      <c r="G631" s="14"/>
      <c r="H631" s="14"/>
      <c r="I631" s="14">
        <v>2841.6</v>
      </c>
      <c r="J631" s="14"/>
      <c r="K631" s="162"/>
      <c r="L631" s="125" t="s">
        <v>310</v>
      </c>
    </row>
    <row r="632" spans="1:14" x14ac:dyDescent="0.2">
      <c r="A632" s="390"/>
      <c r="B632" s="183"/>
      <c r="C632" s="185"/>
      <c r="D632" s="159"/>
      <c r="E632" s="137">
        <v>2020</v>
      </c>
      <c r="F632" s="95">
        <f t="shared" si="54"/>
        <v>2990.4</v>
      </c>
      <c r="G632" s="14"/>
      <c r="H632" s="14"/>
      <c r="I632" s="14">
        <v>2990.4</v>
      </c>
      <c r="J632" s="14"/>
      <c r="K632" s="162"/>
    </row>
    <row r="633" spans="1:14" ht="13.5" thickBot="1" x14ac:dyDescent="0.25">
      <c r="A633" s="391"/>
      <c r="B633" s="370"/>
      <c r="C633" s="185"/>
      <c r="D633" s="187"/>
      <c r="E633" s="24" t="s">
        <v>18</v>
      </c>
      <c r="F633" s="20">
        <f>SUM(F627:F632)</f>
        <v>15364.3</v>
      </c>
      <c r="G633" s="20">
        <f>SUM(G627:G632)</f>
        <v>0</v>
      </c>
      <c r="H633" s="20">
        <f>SUM(H627:H632)</f>
        <v>0</v>
      </c>
      <c r="I633" s="20">
        <f>SUM(I627:I632)</f>
        <v>15364.3</v>
      </c>
      <c r="J633" s="95">
        <f>SUM(J627:J632)</f>
        <v>0</v>
      </c>
      <c r="K633" s="165"/>
    </row>
    <row r="634" spans="1:14" ht="25.5" x14ac:dyDescent="0.2">
      <c r="A634" s="201" t="s">
        <v>241</v>
      </c>
      <c r="B634" s="209"/>
      <c r="C634" s="209"/>
      <c r="D634" s="209"/>
      <c r="E634" s="61" t="s">
        <v>75</v>
      </c>
      <c r="F634" s="20">
        <f>F633+F626+F619+F612</f>
        <v>36378.6</v>
      </c>
      <c r="G634" s="20">
        <f>G633+G626+G619+G612</f>
        <v>0</v>
      </c>
      <c r="H634" s="20">
        <f>H633+H626+H619+H612</f>
        <v>0</v>
      </c>
      <c r="I634" s="20">
        <f>I633+I626+I619+I612</f>
        <v>33366.1</v>
      </c>
      <c r="J634" s="20">
        <f>J633+J626+J619+J612</f>
        <v>3012.5</v>
      </c>
      <c r="K634" s="91"/>
    </row>
    <row r="635" spans="1:14" ht="15.75" customHeight="1" thickBot="1" x14ac:dyDescent="0.25">
      <c r="A635" s="388" t="s">
        <v>271</v>
      </c>
      <c r="B635" s="338"/>
      <c r="C635" s="338"/>
      <c r="D635" s="338"/>
      <c r="E635" s="338"/>
      <c r="F635" s="338"/>
      <c r="G635" s="338"/>
      <c r="H635" s="338"/>
      <c r="I635" s="338"/>
      <c r="J635" s="338"/>
      <c r="K635" s="338"/>
    </row>
    <row r="636" spans="1:14" x14ac:dyDescent="0.2">
      <c r="A636" s="389" t="s">
        <v>137</v>
      </c>
      <c r="B636" s="182" t="s">
        <v>138</v>
      </c>
      <c r="C636" s="158" t="s">
        <v>75</v>
      </c>
      <c r="D636" s="161" t="s">
        <v>255</v>
      </c>
      <c r="E636" s="137">
        <v>2015</v>
      </c>
      <c r="F636" s="95">
        <f t="shared" ref="F636:F641" si="55">SUM(G636:I636)</f>
        <v>2070.1</v>
      </c>
      <c r="G636" s="14"/>
      <c r="H636" s="14"/>
      <c r="I636" s="14">
        <v>2070.1</v>
      </c>
      <c r="J636" s="14"/>
      <c r="K636" s="161" t="s">
        <v>1</v>
      </c>
    </row>
    <row r="637" spans="1:14" x14ac:dyDescent="0.2">
      <c r="A637" s="390"/>
      <c r="B637" s="183"/>
      <c r="C637" s="159"/>
      <c r="D637" s="159"/>
      <c r="E637" s="137">
        <v>2016</v>
      </c>
      <c r="F637" s="95">
        <f t="shared" si="55"/>
        <v>2173.6</v>
      </c>
      <c r="G637" s="14"/>
      <c r="H637" s="14"/>
      <c r="I637" s="14">
        <v>2173.6</v>
      </c>
      <c r="J637" s="14"/>
      <c r="K637" s="162"/>
    </row>
    <row r="638" spans="1:14" x14ac:dyDescent="0.2">
      <c r="A638" s="390"/>
      <c r="B638" s="183"/>
      <c r="C638" s="159"/>
      <c r="D638" s="159"/>
      <c r="E638" s="137">
        <v>2017</v>
      </c>
      <c r="F638" s="95">
        <f t="shared" si="55"/>
        <v>2282.3000000000002</v>
      </c>
      <c r="G638" s="14"/>
      <c r="H638" s="14"/>
      <c r="I638" s="14">
        <v>2282.3000000000002</v>
      </c>
      <c r="J638" s="14"/>
      <c r="K638" s="162"/>
      <c r="L638" s="125" t="s">
        <v>310</v>
      </c>
    </row>
    <row r="639" spans="1:14" x14ac:dyDescent="0.2">
      <c r="A639" s="390"/>
      <c r="B639" s="183"/>
      <c r="C639" s="159"/>
      <c r="D639" s="159"/>
      <c r="E639" s="137">
        <v>2018</v>
      </c>
      <c r="F639" s="95">
        <f t="shared" si="55"/>
        <v>2396.4</v>
      </c>
      <c r="G639" s="14"/>
      <c r="H639" s="14"/>
      <c r="I639" s="14">
        <v>2396.4</v>
      </c>
      <c r="J639" s="14"/>
      <c r="K639" s="162"/>
      <c r="L639" s="125" t="s">
        <v>310</v>
      </c>
    </row>
    <row r="640" spans="1:14" x14ac:dyDescent="0.2">
      <c r="A640" s="390"/>
      <c r="B640" s="183"/>
      <c r="C640" s="159"/>
      <c r="D640" s="159"/>
      <c r="E640" s="137">
        <v>2019</v>
      </c>
      <c r="F640" s="95">
        <f t="shared" si="55"/>
        <v>2516.1999999999998</v>
      </c>
      <c r="G640" s="14"/>
      <c r="H640" s="14"/>
      <c r="I640" s="14">
        <v>2516.1999999999998</v>
      </c>
      <c r="J640" s="14"/>
      <c r="K640" s="162"/>
      <c r="L640" s="125" t="s">
        <v>310</v>
      </c>
    </row>
    <row r="641" spans="1:11" x14ac:dyDescent="0.2">
      <c r="A641" s="390"/>
      <c r="B641" s="183"/>
      <c r="C641" s="159"/>
      <c r="D641" s="159"/>
      <c r="E641" s="137">
        <v>2020</v>
      </c>
      <c r="F641" s="95">
        <f t="shared" si="55"/>
        <v>2642.1</v>
      </c>
      <c r="G641" s="14"/>
      <c r="H641" s="14"/>
      <c r="I641" s="14">
        <v>2642.1</v>
      </c>
      <c r="J641" s="14"/>
      <c r="K641" s="162"/>
    </row>
    <row r="642" spans="1:11" ht="13.5" thickBot="1" x14ac:dyDescent="0.25">
      <c r="A642" s="391"/>
      <c r="B642" s="370"/>
      <c r="C642" s="187"/>
      <c r="D642" s="187"/>
      <c r="E642" s="24" t="s">
        <v>18</v>
      </c>
      <c r="F642" s="20">
        <f>SUM(F636:F641)</f>
        <v>14080.699999999999</v>
      </c>
      <c r="G642" s="13"/>
      <c r="H642" s="13"/>
      <c r="I642" s="13">
        <f>SUM(I636:I641)</f>
        <v>14080.699999999999</v>
      </c>
      <c r="J642" s="13"/>
      <c r="K642" s="165"/>
    </row>
    <row r="643" spans="1:11" ht="25.5" x14ac:dyDescent="0.2">
      <c r="A643" s="201" t="s">
        <v>244</v>
      </c>
      <c r="B643" s="209"/>
      <c r="C643" s="209"/>
      <c r="D643" s="209"/>
      <c r="E643" s="61" t="s">
        <v>75</v>
      </c>
      <c r="F643" s="20">
        <f>F642</f>
        <v>14080.699999999999</v>
      </c>
      <c r="G643" s="20">
        <f>G642</f>
        <v>0</v>
      </c>
      <c r="H643" s="20">
        <f>H642</f>
        <v>0</v>
      </c>
      <c r="I643" s="20">
        <f>I642</f>
        <v>14080.699999999999</v>
      </c>
      <c r="J643" s="18"/>
      <c r="K643" s="91"/>
    </row>
    <row r="644" spans="1:11" ht="47.25" x14ac:dyDescent="0.25">
      <c r="A644" s="281" t="s">
        <v>251</v>
      </c>
      <c r="B644" s="364"/>
      <c r="C644" s="364"/>
      <c r="D644" s="365"/>
      <c r="E644" s="104" t="s">
        <v>75</v>
      </c>
      <c r="F644" s="104" t="s">
        <v>18</v>
      </c>
      <c r="G644" s="105" t="s">
        <v>10</v>
      </c>
      <c r="H644" s="97" t="s">
        <v>11</v>
      </c>
      <c r="I644" s="97" t="s">
        <v>12</v>
      </c>
      <c r="J644" s="97" t="s">
        <v>13</v>
      </c>
      <c r="K644" s="58"/>
    </row>
    <row r="645" spans="1:11" ht="15.75" x14ac:dyDescent="0.25">
      <c r="A645" s="376"/>
      <c r="B645" s="377"/>
      <c r="C645" s="377"/>
      <c r="D645" s="378"/>
      <c r="E645" s="106"/>
      <c r="F645" s="23">
        <f>F643+F634</f>
        <v>50459.299999999996</v>
      </c>
      <c r="G645" s="23">
        <f>G643+G634</f>
        <v>0</v>
      </c>
      <c r="H645" s="23">
        <f>H643+H634</f>
        <v>0</v>
      </c>
      <c r="I645" s="23">
        <f>I643+I634</f>
        <v>47446.799999999996</v>
      </c>
      <c r="J645" s="23">
        <f>J643+J634</f>
        <v>3012.5</v>
      </c>
      <c r="K645" s="58"/>
    </row>
    <row r="646" spans="1:11" ht="47.25" x14ac:dyDescent="0.25">
      <c r="A646" s="379" t="s">
        <v>139</v>
      </c>
      <c r="B646" s="380"/>
      <c r="C646" s="380"/>
      <c r="D646" s="381"/>
      <c r="E646" s="104" t="s">
        <v>156</v>
      </c>
      <c r="F646" s="104" t="s">
        <v>18</v>
      </c>
      <c r="G646" s="105" t="s">
        <v>10</v>
      </c>
      <c r="H646" s="97" t="s">
        <v>11</v>
      </c>
      <c r="I646" s="97" t="s">
        <v>12</v>
      </c>
      <c r="J646" s="97" t="s">
        <v>13</v>
      </c>
      <c r="K646" s="58"/>
    </row>
    <row r="647" spans="1:11" x14ac:dyDescent="0.2">
      <c r="A647" s="382"/>
      <c r="B647" s="383"/>
      <c r="C647" s="383"/>
      <c r="D647" s="384"/>
      <c r="E647" s="137">
        <v>2015</v>
      </c>
      <c r="F647" s="95">
        <f t="shared" ref="F647:F652" si="56">SUM(H647:J647)</f>
        <v>1157693.2999999998</v>
      </c>
      <c r="G647" s="14"/>
      <c r="H647" s="14">
        <f>H636+H627+H620+H613+H606+H594+H587+H580+H573+H566+H559+H552+H542+H535+H525+H518+H508+H501+H494+H487+H477+H470+H463+H456+H444+H434+H427+H420+H413+H403+H388+H372+H365+H358+H351+H343+H334+H322+H313+H304+H282+H275+H268+H251+H243+H233+H219+H206+H200+H193+H186+H141+H134+H98+H74+H51+H39+H32+H23+H16</f>
        <v>986489.1</v>
      </c>
      <c r="I647" s="14">
        <f>I16+I23+I32+I39+I51+I58+I65+I74+I90+I98+I108+I118+I125+I134+I141+I148+I155+I186+I193+I206+I219+I233+I243+I251+I258+I268+I275+I282+I304+I313+I322+I334+I343+I351+I358+I365+I388+I403+I413+I420+I427+I434+I444+I456+I463+I470+I477+I487+I494+I501+I508+I518+I525+I535+I542+I552+I559+I566+I573+I580+I587+I594+I606+I613+I620+I627+I636+I372+I395</f>
        <v>170563.49999999997</v>
      </c>
      <c r="J647" s="14">
        <f t="shared" ref="J647:J652" si="57">J16+J23+J32+J39+J51+J58+J65+J74+J90+J98+J108+J118+J125+J134+J141+J148+J155+J186+J193+J206+J219+J233+J243+J251+J258+J268+J275+J282+J304+J313+J322+J334+J343+J351+J358+J365+J388+J403+J413+J420+J427+J434+J444+J456+J463+J470+J477+J487+J494+J501+J508+J518+J525+J535+J542+J552+J559+J566+J573+J580+J587+J594+J606+J613+J620+J627+J636</f>
        <v>640.69999999999993</v>
      </c>
      <c r="K647" s="203"/>
    </row>
    <row r="648" spans="1:11" x14ac:dyDescent="0.2">
      <c r="A648" s="382"/>
      <c r="B648" s="383"/>
      <c r="C648" s="383"/>
      <c r="D648" s="384"/>
      <c r="E648" s="137">
        <v>2016</v>
      </c>
      <c r="F648" s="95">
        <f t="shared" si="56"/>
        <v>1134983.6000000001</v>
      </c>
      <c r="G648" s="14"/>
      <c r="H648" s="14">
        <f>H17+H24+H33+H40+H52+H59+H66+H75+H91+H99+H109+H119+H126+H135+H142+H149+H156+H187+H194+H207+H220+H234+H244+H252+H259+H269+H276+H283+H305+H314+H323+H335+H344+H352+H359+H366+H389+H404+H414+H421+H428+H435+H445+H457+H464+H471+H478+H488+H495+H502+H509+H519+H526+H536+H543+H553+H560+H567+H574+H581+H588+H595+H607+H614+H621+H628+H637+H290+H176+H46+H213+H296</f>
        <v>934993.5</v>
      </c>
      <c r="I648" s="14">
        <f>I17+I24+I33+I40+I52+I59+I66+I75+I91+I99+I109+I119+I126+I135+I142+I149+I156+I187+I194+I207+I220+I234+I244+I252+I259+I269+I276+I283+I305+I314+I323+I335+I344+I352+I359+I366+I389+I404+I414+I421+I428+I435+I445+I457+I464+I471+I478+I488+I495+I502+I509+I519+I526+I536+I543+I553+I560+I567+I574+I581+I588+I595+I607+I614+I621+I628+I637+I396+I379+I226+I82+I290+I213+I46+I296</f>
        <v>199061.29999999996</v>
      </c>
      <c r="J648" s="14">
        <f t="shared" si="57"/>
        <v>928.79999999999984</v>
      </c>
      <c r="K648" s="203"/>
    </row>
    <row r="649" spans="1:11" x14ac:dyDescent="0.2">
      <c r="A649" s="382"/>
      <c r="B649" s="383"/>
      <c r="C649" s="383"/>
      <c r="D649" s="384"/>
      <c r="E649" s="137">
        <v>2017</v>
      </c>
      <c r="F649" s="95">
        <f t="shared" si="56"/>
        <v>1086535.25</v>
      </c>
      <c r="G649" s="14"/>
      <c r="H649" s="14">
        <f>H18+H25+H34+H41+H53+H60+H67+H76+H92+H100+H110+H120+H127+H136+H143+H150+H157+H188+H195+H208+H221+H235+H245+H253+H260+H270+H277+H284+H306+H315+H324+H336+H345+H353+H360+H367+H390+H405+H415+H422+H429+H436+H446+H458+H465+H472+H479+H489+H496+H503+H510+H520+H527+H537+H544+H554+H561+H568+H575+H582+H589+H596+H608+H615+H622+H629+H638+H214+H216+H177</f>
        <v>890016.79999999993</v>
      </c>
      <c r="I649" s="14">
        <f>I18+I25+I34+I41+I53+I60+I67+I76+I92+I100+I110+I120+I127+I136+I143+I150+I157+I188+I195+I208+I221+I235+I245+I253+I260+I270+I277+I284+I306+I315+I324+I336+I345+I353+I360+I367+I390+I405+I415+I422+I429+I436+I446+I458+I465+I472+I479+I489+I496+I503+I510+I520+I527+I537+I544+I554+I561+I568+I575+I582+I589+I596+I608+I615+I622+I629+I638+I397+I214+I216+I202+I380+I297+I291+I227+I83</f>
        <v>196183.64999999994</v>
      </c>
      <c r="J649" s="14">
        <f t="shared" si="57"/>
        <v>334.8</v>
      </c>
      <c r="K649" s="203"/>
    </row>
    <row r="650" spans="1:11" x14ac:dyDescent="0.2">
      <c r="A650" s="382"/>
      <c r="B650" s="383"/>
      <c r="C650" s="383"/>
      <c r="D650" s="384"/>
      <c r="E650" s="137">
        <v>2018</v>
      </c>
      <c r="F650" s="95">
        <f t="shared" si="56"/>
        <v>880592.90000000014</v>
      </c>
      <c r="G650" s="14"/>
      <c r="H650" s="14">
        <f>H19+H26+H35+H42+H54+H61+H68+H77+H93+H101+H111+H121+H128+H137+H144+H151+H158+H189+H196+H209+H222+H236+H246+H254+H261+H271+H278+H285+H307+H316+H325+H337+H346+H354+H361+H368+H391+H406+H416+H423+H430+H437+H447+H459+H466+H473+H480+H490+H497+H504+H511+H521+H528+H538+H545+H555+H562+H569+H576+H583+H590+H597+H609+H616+H623+H630+H639+H178</f>
        <v>731074.00000000012</v>
      </c>
      <c r="I650" s="14">
        <f>I19+I26+I35+I42+I54+I61+I68+I77+I93+I101+I111+I121+I128+I137+I144+I151+I158+I189+I196+I209+I222+I236+I246+I254+I261+I271+I278+I285+I307+I316+I325+I337+I346+I354+I361+I368+I391+I406+I416+I423+I430+I437+I447+I459+I466+I473+I480+I490+I497+I504+I511+I521+I528+I538+I545+I555+I562+I569+I576+I583+I590+I597+I609+I616+I623+I630+I639+I398+I84+I228+I292+I298+I381</f>
        <v>148157.40000000002</v>
      </c>
      <c r="J650" s="14">
        <f t="shared" si="57"/>
        <v>1361.5</v>
      </c>
      <c r="K650" s="203"/>
    </row>
    <row r="651" spans="1:11" x14ac:dyDescent="0.2">
      <c r="A651" s="382"/>
      <c r="B651" s="383"/>
      <c r="C651" s="383"/>
      <c r="D651" s="384"/>
      <c r="E651" s="137">
        <v>2019</v>
      </c>
      <c r="F651" s="95">
        <f t="shared" si="56"/>
        <v>906314.20000000019</v>
      </c>
      <c r="G651" s="14"/>
      <c r="H651" s="14">
        <f>H20+H27+H36+H43+H55+H62+H69+H78+H94+H102+H112+H122+H129+H138+H145+H152+H159+H190+H197+H210+H223+H237+H247+H255+H262+H272+H279+H286+H308+H317+H326+H338+H347+H355+H362+H369+H392+H407+H417+H424+H431+H438+H448+H460+H467+H474+H481+H491+H498+H505+H512+H522+H529+H539+H546+H556+H563+H570+H577+H584+H591+H598+H610+H617+H624+H631+H640+H179</f>
        <v>750327.40000000026</v>
      </c>
      <c r="I651" s="14">
        <f>I20+I27+I36+I43+I55+I62+I69+I78+I94+I102+I112+I122+I129+I138+I145+I152+I159+I190+I197+I210+I223+I237+I247+I255+I262+I272+I279+I286+I308+I317+I326+I338+I347+I355+I362+I369+I392+I407+I417+I424+I431+I438+I448+I460+I467+I474+I481+I491+I498+I505+I512+I522+I529+I539+I546+I556+I563+I570+I577+I584+I591+I598+I610+I617+I624+I631+I640+I399+I85+I229+I293+I299+I382</f>
        <v>154547.69999999998</v>
      </c>
      <c r="J651" s="14">
        <f t="shared" si="57"/>
        <v>1439.1</v>
      </c>
      <c r="K651" s="203"/>
    </row>
    <row r="652" spans="1:11" x14ac:dyDescent="0.2">
      <c r="A652" s="382"/>
      <c r="B652" s="383"/>
      <c r="C652" s="383"/>
      <c r="D652" s="384"/>
      <c r="E652" s="137">
        <v>2020</v>
      </c>
      <c r="F652" s="95">
        <f t="shared" si="56"/>
        <v>1523546.6</v>
      </c>
      <c r="G652" s="14"/>
      <c r="H652" s="14">
        <f>H21+H28+H37+H44+H56+H63+H70+H79+H95+H103+H113+H123+H130+H139+H146+H153+H160+H191+H198+H211+H224+H238+H248+H256+H263+H273+H280+H287+H309+H318+H327+H339+H348+H356+H363+H370+H393+H408+H418+H425+H432+H439+H449+H461+H468+H475+H482+H492+H499+H506+H513+H523+H530+H540+H547+H557+H564+H571+H578+H585+H592+H599+H611+H618+H625+H632+H641</f>
        <v>1320769.1000000001</v>
      </c>
      <c r="I652" s="14">
        <f>I21+I28+I37+I44+I56+I63+I70+I79+I95+I103+I113+I123+I130+I139+I146+I153+I160+I191+I198+I211+I224+I238+I248+I256+I263+I273+I280+I287+I309+I318+I327+I339+I348+I356+I363+I370+I393+I408+I418+I425+I432+I439+I449+I461+I468+I475+I482+I492+I499+I506+I513+I523+I530+I540+I547+I557+I564+I571+I578+I585+I592+I599+I611+I618+I625+I632+I641+I400</f>
        <v>201254.90000000002</v>
      </c>
      <c r="J652" s="14">
        <f t="shared" si="57"/>
        <v>1522.6000000000001</v>
      </c>
      <c r="K652" s="203"/>
    </row>
    <row r="653" spans="1:11" ht="15.75" customHeight="1" x14ac:dyDescent="0.2">
      <c r="A653" s="385"/>
      <c r="B653" s="386"/>
      <c r="C653" s="386"/>
      <c r="D653" s="387"/>
      <c r="E653" s="422" t="s">
        <v>157</v>
      </c>
      <c r="F653" s="20">
        <f>SUM(F647:F652)</f>
        <v>6689665.8499999996</v>
      </c>
      <c r="G653" s="13"/>
      <c r="H653" s="13">
        <f>SUM(H647:H652)</f>
        <v>5613669.9000000004</v>
      </c>
      <c r="I653" s="13">
        <f>SUM(I647:I652)</f>
        <v>1069768.4499999997</v>
      </c>
      <c r="J653" s="13">
        <f>SUM(J647:J652)</f>
        <v>6227.5</v>
      </c>
      <c r="K653" s="203"/>
    </row>
    <row r="655" spans="1:11" x14ac:dyDescent="0.2">
      <c r="I655" s="96"/>
    </row>
  </sheetData>
  <mergeCells count="491">
    <mergeCell ref="C388:C394"/>
    <mergeCell ref="D388:D394"/>
    <mergeCell ref="A386:K386"/>
    <mergeCell ref="A387:K387"/>
    <mergeCell ref="D216:D217"/>
    <mergeCell ref="K216:K217"/>
    <mergeCell ref="M83:O83"/>
    <mergeCell ref="M227:O227"/>
    <mergeCell ref="D46:D48"/>
    <mergeCell ref="A329:K329"/>
    <mergeCell ref="A330:D330"/>
    <mergeCell ref="A332:K332"/>
    <mergeCell ref="A333:K333"/>
    <mergeCell ref="A322:A328"/>
    <mergeCell ref="K268:K274"/>
    <mergeCell ref="K275:K281"/>
    <mergeCell ref="A282:A288"/>
    <mergeCell ref="B282:B288"/>
    <mergeCell ref="C282:C288"/>
    <mergeCell ref="D275:D281"/>
    <mergeCell ref="A302:D302"/>
    <mergeCell ref="K289:K295"/>
    <mergeCell ref="D282:D288"/>
    <mergeCell ref="K282:K288"/>
    <mergeCell ref="A550:K550"/>
    <mergeCell ref="A551:K551"/>
    <mergeCell ref="C226:C231"/>
    <mergeCell ref="D226:D231"/>
    <mergeCell ref="C379:C384"/>
    <mergeCell ref="D379:D384"/>
    <mergeCell ref="A226:A231"/>
    <mergeCell ref="B379:B384"/>
    <mergeCell ref="D501:D507"/>
    <mergeCell ref="B494:B500"/>
    <mergeCell ref="C494:C500"/>
    <mergeCell ref="D494:D500"/>
    <mergeCell ref="K494:K500"/>
    <mergeCell ref="A487:A493"/>
    <mergeCell ref="B487:B493"/>
    <mergeCell ref="C487:C493"/>
    <mergeCell ref="A477:A483"/>
    <mergeCell ref="A484:D484"/>
    <mergeCell ref="D395:D401"/>
    <mergeCell ref="B388:B394"/>
    <mergeCell ref="A388:A394"/>
    <mergeCell ref="A395:A401"/>
    <mergeCell ref="K388:K401"/>
    <mergeCell ref="B395:B401"/>
    <mergeCell ref="A485:K485"/>
    <mergeCell ref="A486:K486"/>
    <mergeCell ref="K434:K440"/>
    <mergeCell ref="A441:D441"/>
    <mergeCell ref="A442:K442"/>
    <mergeCell ref="A443:K443"/>
    <mergeCell ref="C552:C558"/>
    <mergeCell ref="D552:D558"/>
    <mergeCell ref="A454:K454"/>
    <mergeCell ref="K552:K565"/>
    <mergeCell ref="K501:K507"/>
    <mergeCell ref="K508:K514"/>
    <mergeCell ref="K487:K493"/>
    <mergeCell ref="C456:C462"/>
    <mergeCell ref="D456:D462"/>
    <mergeCell ref="K456:K483"/>
    <mergeCell ref="A470:A476"/>
    <mergeCell ref="B470:B476"/>
    <mergeCell ref="D477:D483"/>
    <mergeCell ref="A494:A500"/>
    <mergeCell ref="A501:A507"/>
    <mergeCell ref="B501:B507"/>
    <mergeCell ref="C501:C507"/>
    <mergeCell ref="D487:D493"/>
    <mergeCell ref="A508:A514"/>
    <mergeCell ref="B508:B514"/>
    <mergeCell ref="C508:C514"/>
    <mergeCell ref="D508:D514"/>
    <mergeCell ref="B477:B483"/>
    <mergeCell ref="C477:C483"/>
    <mergeCell ref="D620:D626"/>
    <mergeCell ref="D613:D619"/>
    <mergeCell ref="D559:D565"/>
    <mergeCell ref="C559:C565"/>
    <mergeCell ref="A559:A565"/>
    <mergeCell ref="B559:B565"/>
    <mergeCell ref="A515:D515"/>
    <mergeCell ref="A549:D549"/>
    <mergeCell ref="A535:A541"/>
    <mergeCell ref="B535:B541"/>
    <mergeCell ref="C535:C541"/>
    <mergeCell ref="A542:A548"/>
    <mergeCell ref="B542:B548"/>
    <mergeCell ref="C542:C548"/>
    <mergeCell ref="D542:D548"/>
    <mergeCell ref="D535:D541"/>
    <mergeCell ref="A516:K516"/>
    <mergeCell ref="A517:K517"/>
    <mergeCell ref="A552:A558"/>
    <mergeCell ref="B552:B558"/>
    <mergeCell ref="K606:K633"/>
    <mergeCell ref="D627:D633"/>
    <mergeCell ref="K594:K600"/>
    <mergeCell ref="A594:A600"/>
    <mergeCell ref="B594:B600"/>
    <mergeCell ref="C594:C600"/>
    <mergeCell ref="A627:A633"/>
    <mergeCell ref="B627:B633"/>
    <mergeCell ref="C627:C633"/>
    <mergeCell ref="A620:A626"/>
    <mergeCell ref="A604:K604"/>
    <mergeCell ref="A605:K605"/>
    <mergeCell ref="A602:D602"/>
    <mergeCell ref="A613:A619"/>
    <mergeCell ref="B613:B619"/>
    <mergeCell ref="C613:C619"/>
    <mergeCell ref="A606:A612"/>
    <mergeCell ref="B606:B612"/>
    <mergeCell ref="C606:C612"/>
    <mergeCell ref="D594:D600"/>
    <mergeCell ref="A601:D601"/>
    <mergeCell ref="D606:D612"/>
    <mergeCell ref="B620:B626"/>
    <mergeCell ref="C620:C626"/>
    <mergeCell ref="K647:K653"/>
    <mergeCell ref="A643:D643"/>
    <mergeCell ref="A644:D644"/>
    <mergeCell ref="A645:D645"/>
    <mergeCell ref="A646:D653"/>
    <mergeCell ref="D636:D642"/>
    <mergeCell ref="A634:D634"/>
    <mergeCell ref="A635:K635"/>
    <mergeCell ref="A636:A642"/>
    <mergeCell ref="B636:B642"/>
    <mergeCell ref="C636:C642"/>
    <mergeCell ref="K636:K642"/>
    <mergeCell ref="K566:K593"/>
    <mergeCell ref="A587:A593"/>
    <mergeCell ref="B587:B593"/>
    <mergeCell ref="C587:C593"/>
    <mergeCell ref="D587:D593"/>
    <mergeCell ref="A580:A586"/>
    <mergeCell ref="B580:B586"/>
    <mergeCell ref="C580:C586"/>
    <mergeCell ref="D580:D586"/>
    <mergeCell ref="C573:C579"/>
    <mergeCell ref="D573:D579"/>
    <mergeCell ref="A566:A572"/>
    <mergeCell ref="B566:B572"/>
    <mergeCell ref="C566:C572"/>
    <mergeCell ref="D566:D572"/>
    <mergeCell ref="A573:A579"/>
    <mergeCell ref="B573:B579"/>
    <mergeCell ref="A434:A440"/>
    <mergeCell ref="B434:B440"/>
    <mergeCell ref="C434:C440"/>
    <mergeCell ref="D434:D440"/>
    <mergeCell ref="C470:C476"/>
    <mergeCell ref="D470:D476"/>
    <mergeCell ref="K444:K450"/>
    <mergeCell ref="A451:D451"/>
    <mergeCell ref="A452:D452"/>
    <mergeCell ref="A444:A450"/>
    <mergeCell ref="B444:B450"/>
    <mergeCell ref="C444:C450"/>
    <mergeCell ref="D444:D450"/>
    <mergeCell ref="A463:A469"/>
    <mergeCell ref="B463:B469"/>
    <mergeCell ref="C463:C469"/>
    <mergeCell ref="D463:D469"/>
    <mergeCell ref="A455:K455"/>
    <mergeCell ref="A456:A462"/>
    <mergeCell ref="B456:B462"/>
    <mergeCell ref="A412:K412"/>
    <mergeCell ref="A413:A419"/>
    <mergeCell ref="B413:B419"/>
    <mergeCell ref="C413:C419"/>
    <mergeCell ref="D413:D419"/>
    <mergeCell ref="K413:K433"/>
    <mergeCell ref="A427:A433"/>
    <mergeCell ref="B427:B433"/>
    <mergeCell ref="C427:C433"/>
    <mergeCell ref="D427:D433"/>
    <mergeCell ref="A420:A426"/>
    <mergeCell ref="B420:B426"/>
    <mergeCell ref="C420:C426"/>
    <mergeCell ref="D420:D426"/>
    <mergeCell ref="A410:D410"/>
    <mergeCell ref="A411:K411"/>
    <mergeCell ref="K403:K409"/>
    <mergeCell ref="C395:C401"/>
    <mergeCell ref="A403:A409"/>
    <mergeCell ref="B403:B409"/>
    <mergeCell ref="C403:C409"/>
    <mergeCell ref="D403:D409"/>
    <mergeCell ref="A402:K402"/>
    <mergeCell ref="A385:D385"/>
    <mergeCell ref="A379:A384"/>
    <mergeCell ref="K358:K364"/>
    <mergeCell ref="A365:A371"/>
    <mergeCell ref="B365:B371"/>
    <mergeCell ref="C365:C371"/>
    <mergeCell ref="D365:D371"/>
    <mergeCell ref="K365:K371"/>
    <mergeCell ref="A358:A364"/>
    <mergeCell ref="B358:B364"/>
    <mergeCell ref="C358:C364"/>
    <mergeCell ref="D358:D364"/>
    <mergeCell ref="A372:A378"/>
    <mergeCell ref="B372:B378"/>
    <mergeCell ref="C372:C378"/>
    <mergeCell ref="D372:D378"/>
    <mergeCell ref="K379:K384"/>
    <mergeCell ref="K372:K378"/>
    <mergeCell ref="A350:K350"/>
    <mergeCell ref="A351:A357"/>
    <mergeCell ref="B351:B357"/>
    <mergeCell ref="C351:C357"/>
    <mergeCell ref="D351:D357"/>
    <mergeCell ref="K351:K357"/>
    <mergeCell ref="K334:K340"/>
    <mergeCell ref="A341:K341"/>
    <mergeCell ref="A342:K342"/>
    <mergeCell ref="A343:A349"/>
    <mergeCell ref="B343:B349"/>
    <mergeCell ref="C343:C349"/>
    <mergeCell ref="D343:D349"/>
    <mergeCell ref="K343:K349"/>
    <mergeCell ref="A334:A340"/>
    <mergeCell ref="B334:B340"/>
    <mergeCell ref="C334:C340"/>
    <mergeCell ref="D334:D340"/>
    <mergeCell ref="B268:B274"/>
    <mergeCell ref="C268:C274"/>
    <mergeCell ref="D268:D274"/>
    <mergeCell ref="A296:A301"/>
    <mergeCell ref="B296:B301"/>
    <mergeCell ref="C296:C301"/>
    <mergeCell ref="D296:D301"/>
    <mergeCell ref="K296:K301"/>
    <mergeCell ref="D251:D257"/>
    <mergeCell ref="K251:K257"/>
    <mergeCell ref="K258:K264"/>
    <mergeCell ref="A265:D265"/>
    <mergeCell ref="A267:K267"/>
    <mergeCell ref="A258:A264"/>
    <mergeCell ref="B258:B264"/>
    <mergeCell ref="C258:C264"/>
    <mergeCell ref="D258:D264"/>
    <mergeCell ref="A266:K266"/>
    <mergeCell ref="A275:A281"/>
    <mergeCell ref="B275:B281"/>
    <mergeCell ref="C275:C281"/>
    <mergeCell ref="A268:A274"/>
    <mergeCell ref="F169:J174"/>
    <mergeCell ref="K193:K199"/>
    <mergeCell ref="A183:D183"/>
    <mergeCell ref="A184:K184"/>
    <mergeCell ref="A185:K185"/>
    <mergeCell ref="K186:K192"/>
    <mergeCell ref="A186:A192"/>
    <mergeCell ref="B186:B192"/>
    <mergeCell ref="C186:C192"/>
    <mergeCell ref="D186:D192"/>
    <mergeCell ref="A193:A199"/>
    <mergeCell ref="B193:B199"/>
    <mergeCell ref="C193:C199"/>
    <mergeCell ref="D193:D199"/>
    <mergeCell ref="B176:B181"/>
    <mergeCell ref="A176:A181"/>
    <mergeCell ref="C176:C181"/>
    <mergeCell ref="D176:D181"/>
    <mergeCell ref="K176:K181"/>
    <mergeCell ref="A182:D182"/>
    <mergeCell ref="D162:D168"/>
    <mergeCell ref="F162:J168"/>
    <mergeCell ref="A134:A140"/>
    <mergeCell ref="B134:B140"/>
    <mergeCell ref="C134:C140"/>
    <mergeCell ref="D134:D140"/>
    <mergeCell ref="K148:K154"/>
    <mergeCell ref="A155:A161"/>
    <mergeCell ref="B155:B161"/>
    <mergeCell ref="C155:C161"/>
    <mergeCell ref="D155:D161"/>
    <mergeCell ref="K155:K161"/>
    <mergeCell ref="A148:A154"/>
    <mergeCell ref="B148:B154"/>
    <mergeCell ref="C148:C154"/>
    <mergeCell ref="D148:D154"/>
    <mergeCell ref="K162:K175"/>
    <mergeCell ref="A162:A168"/>
    <mergeCell ref="B162:B168"/>
    <mergeCell ref="C162:C168"/>
    <mergeCell ref="B169:B175"/>
    <mergeCell ref="C169:C175"/>
    <mergeCell ref="D169:D175"/>
    <mergeCell ref="A169:A175"/>
    <mergeCell ref="K134:K147"/>
    <mergeCell ref="A141:A147"/>
    <mergeCell ref="B141:B147"/>
    <mergeCell ref="C141:C147"/>
    <mergeCell ref="D141:D147"/>
    <mergeCell ref="A118:A124"/>
    <mergeCell ref="B118:B124"/>
    <mergeCell ref="C118:C124"/>
    <mergeCell ref="D118:D124"/>
    <mergeCell ref="A132:K132"/>
    <mergeCell ref="A133:K133"/>
    <mergeCell ref="A115:E115"/>
    <mergeCell ref="F115:J115"/>
    <mergeCell ref="A116:K116"/>
    <mergeCell ref="A117:K117"/>
    <mergeCell ref="K118:K124"/>
    <mergeCell ref="A125:A131"/>
    <mergeCell ref="B125:B131"/>
    <mergeCell ref="C125:C131"/>
    <mergeCell ref="D125:D131"/>
    <mergeCell ref="K125:K131"/>
    <mergeCell ref="A105:D105"/>
    <mergeCell ref="A106:K106"/>
    <mergeCell ref="A107:K107"/>
    <mergeCell ref="A108:A114"/>
    <mergeCell ref="B108:B114"/>
    <mergeCell ref="C108:C114"/>
    <mergeCell ref="D108:D114"/>
    <mergeCell ref="K108:K114"/>
    <mergeCell ref="A90:A96"/>
    <mergeCell ref="B90:B96"/>
    <mergeCell ref="C90:C96"/>
    <mergeCell ref="D90:D96"/>
    <mergeCell ref="K90:K96"/>
    <mergeCell ref="A97:K97"/>
    <mergeCell ref="A98:A104"/>
    <mergeCell ref="B98:B104"/>
    <mergeCell ref="C98:C104"/>
    <mergeCell ref="D98:D104"/>
    <mergeCell ref="K98:K104"/>
    <mergeCell ref="A72:D72"/>
    <mergeCell ref="A73:K73"/>
    <mergeCell ref="A74:A80"/>
    <mergeCell ref="B74:B80"/>
    <mergeCell ref="C74:C80"/>
    <mergeCell ref="D74:D80"/>
    <mergeCell ref="K74:K80"/>
    <mergeCell ref="A88:D88"/>
    <mergeCell ref="A89:K89"/>
    <mergeCell ref="C81:C87"/>
    <mergeCell ref="D81:D87"/>
    <mergeCell ref="A81:A87"/>
    <mergeCell ref="B81:B87"/>
    <mergeCell ref="K81:K87"/>
    <mergeCell ref="B51:B57"/>
    <mergeCell ref="C51:C57"/>
    <mergeCell ref="D51:D57"/>
    <mergeCell ref="K32:K49"/>
    <mergeCell ref="K51:K64"/>
    <mergeCell ref="A49:D49"/>
    <mergeCell ref="K65:K71"/>
    <mergeCell ref="A58:A64"/>
    <mergeCell ref="B58:B64"/>
    <mergeCell ref="C58:C64"/>
    <mergeCell ref="D58:D64"/>
    <mergeCell ref="A65:A71"/>
    <mergeCell ref="B65:B71"/>
    <mergeCell ref="C65:C71"/>
    <mergeCell ref="D65:D71"/>
    <mergeCell ref="D39:D45"/>
    <mergeCell ref="A50:K50"/>
    <mergeCell ref="A39:A45"/>
    <mergeCell ref="B39:B45"/>
    <mergeCell ref="A51:A57"/>
    <mergeCell ref="C39:C45"/>
    <mergeCell ref="A46:A48"/>
    <mergeCell ref="B46:B48"/>
    <mergeCell ref="C46:C48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219:A225"/>
    <mergeCell ref="B219:B225"/>
    <mergeCell ref="C219:C225"/>
    <mergeCell ref="D219:D225"/>
    <mergeCell ref="K219:K225"/>
    <mergeCell ref="K200:K204"/>
    <mergeCell ref="B206:B212"/>
    <mergeCell ref="B200:B204"/>
    <mergeCell ref="C200:C204"/>
    <mergeCell ref="D200:D204"/>
    <mergeCell ref="A218:K218"/>
    <mergeCell ref="A206:A212"/>
    <mergeCell ref="A200:A204"/>
    <mergeCell ref="C206:C212"/>
    <mergeCell ref="D206:D212"/>
    <mergeCell ref="K206:K212"/>
    <mergeCell ref="A213:A215"/>
    <mergeCell ref="B213:B215"/>
    <mergeCell ref="C213:C215"/>
    <mergeCell ref="D213:D215"/>
    <mergeCell ref="K213:K215"/>
    <mergeCell ref="A216:A217"/>
    <mergeCell ref="B216:B217"/>
    <mergeCell ref="C216:C217"/>
    <mergeCell ref="K226:K231"/>
    <mergeCell ref="A289:A295"/>
    <mergeCell ref="B289:B295"/>
    <mergeCell ref="C289:C295"/>
    <mergeCell ref="D289:D295"/>
    <mergeCell ref="A232:K232"/>
    <mergeCell ref="A233:A239"/>
    <mergeCell ref="B233:B239"/>
    <mergeCell ref="C233:C239"/>
    <mergeCell ref="D233:D239"/>
    <mergeCell ref="K233:K239"/>
    <mergeCell ref="A240:D240"/>
    <mergeCell ref="A241:K241"/>
    <mergeCell ref="A242:K242"/>
    <mergeCell ref="A243:A249"/>
    <mergeCell ref="B243:B249"/>
    <mergeCell ref="C243:C249"/>
    <mergeCell ref="D243:D249"/>
    <mergeCell ref="K243:K249"/>
    <mergeCell ref="B226:B231"/>
    <mergeCell ref="A250:K250"/>
    <mergeCell ref="A251:A257"/>
    <mergeCell ref="B251:B257"/>
    <mergeCell ref="C251:C257"/>
    <mergeCell ref="A525:A531"/>
    <mergeCell ref="B525:B531"/>
    <mergeCell ref="C525:C531"/>
    <mergeCell ref="D525:D531"/>
    <mergeCell ref="K542:K548"/>
    <mergeCell ref="K535:K541"/>
    <mergeCell ref="D518:D524"/>
    <mergeCell ref="K518:K524"/>
    <mergeCell ref="A532:D532"/>
    <mergeCell ref="A533:K533"/>
    <mergeCell ref="K525:K531"/>
    <mergeCell ref="A518:A524"/>
    <mergeCell ref="B518:B524"/>
    <mergeCell ref="C518:C524"/>
    <mergeCell ref="A534:K534"/>
    <mergeCell ref="A303:E303"/>
    <mergeCell ref="A304:A310"/>
    <mergeCell ref="B304:B310"/>
    <mergeCell ref="C304:C310"/>
    <mergeCell ref="D304:D310"/>
    <mergeCell ref="K322:K328"/>
    <mergeCell ref="K304:K310"/>
    <mergeCell ref="A311:D311"/>
    <mergeCell ref="A312:K312"/>
    <mergeCell ref="A313:A319"/>
    <mergeCell ref="B313:B319"/>
    <mergeCell ref="C313:C319"/>
    <mergeCell ref="D313:D319"/>
    <mergeCell ref="K313:K319"/>
    <mergeCell ref="A321:K321"/>
    <mergeCell ref="B322:B328"/>
    <mergeCell ref="C322:C328"/>
    <mergeCell ref="D322:D328"/>
    <mergeCell ref="A320:D320"/>
  </mergeCells>
  <phoneticPr fontId="0" type="noConversion"/>
  <pageMargins left="0.75" right="0.75" top="1" bottom="1" header="0.5" footer="0.5"/>
  <pageSetup paperSize="9" scale="60" orientation="landscape" r:id="rId1"/>
  <headerFooter alignWithMargins="0"/>
  <rowBreaks count="18" manualBreakCount="18">
    <brk id="30" max="10" man="1"/>
    <brk id="49" max="10" man="1"/>
    <brk id="72" max="10" man="1"/>
    <brk id="105" max="10" man="1"/>
    <brk id="147" max="10" man="1"/>
    <brk id="183" max="10" man="1"/>
    <brk id="217" max="10" man="1"/>
    <brk id="265" max="10" man="1"/>
    <brk id="302" max="10" man="1"/>
    <brk id="331" max="10" man="1"/>
    <brk id="371" max="10" man="1"/>
    <brk id="410" max="10" man="1"/>
    <brk id="453" max="10" man="1"/>
    <brk id="484" max="10" man="1"/>
    <brk id="524" max="10" man="1"/>
    <brk id="565" max="10" man="1"/>
    <brk id="603" max="10" man="1"/>
    <brk id="64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декабрь</vt:lpstr>
      <vt:lpstr>Лист2</vt:lpstr>
      <vt:lpstr>'программа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2017-02-17T03:05:20Z</cp:lastPrinted>
  <dcterms:created xsi:type="dcterms:W3CDTF">1996-10-08T23:32:33Z</dcterms:created>
  <dcterms:modified xsi:type="dcterms:W3CDTF">2017-03-14T00:17:29Z</dcterms:modified>
</cp:coreProperties>
</file>