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hruk\Desktop\программа июль 2016\"/>
    </mc:Choice>
  </mc:AlternateContent>
  <bookViews>
    <workbookView xWindow="0" yWindow="0" windowWidth="20490" windowHeight="8445"/>
  </bookViews>
  <sheets>
    <sheet name="программа декабрь" sheetId="1" r:id="rId1"/>
    <sheet name="Лист2" sheetId="2" r:id="rId2"/>
  </sheets>
  <definedNames>
    <definedName name="_xlnm.Print_Area" localSheetId="0">'программа декабрь'!$A$1:$K$645</definedName>
  </definedNames>
  <calcPr calcId="152511"/>
</workbook>
</file>

<file path=xl/calcChain.xml><?xml version="1.0" encoding="utf-8"?>
<calcChain xmlns="http://schemas.openxmlformats.org/spreadsheetml/2006/main">
  <c r="I207" i="1" l="1"/>
  <c r="I82" i="1" l="1"/>
  <c r="I224" i="1"/>
  <c r="I640" i="1" l="1"/>
  <c r="H640" i="1"/>
  <c r="J613" i="1" l="1"/>
  <c r="J606" i="1"/>
  <c r="J599" i="1"/>
  <c r="I232" i="1"/>
  <c r="I66" i="1"/>
  <c r="H470" i="1"/>
  <c r="H250" i="1"/>
  <c r="H315" i="1"/>
  <c r="H267" i="1"/>
  <c r="H242" i="1"/>
  <c r="I214" i="1"/>
  <c r="H214" i="1"/>
  <c r="H176" i="1"/>
  <c r="H135" i="1"/>
  <c r="H134" i="1"/>
  <c r="F49" i="1"/>
  <c r="I49" i="1"/>
  <c r="H49" i="1"/>
  <c r="I48" i="1"/>
  <c r="H48" i="1"/>
  <c r="G48" i="1"/>
  <c r="F47" i="1"/>
  <c r="F46" i="1"/>
  <c r="F48" i="1" s="1"/>
  <c r="H641" i="1" l="1"/>
  <c r="I641" i="1"/>
  <c r="F213" i="1"/>
  <c r="H215" i="1"/>
  <c r="H238" i="1" s="1"/>
  <c r="G215" i="1"/>
  <c r="F214" i="1"/>
  <c r="F215" i="1" l="1"/>
  <c r="I215" i="1"/>
  <c r="I620" i="1"/>
  <c r="I613" i="1"/>
  <c r="I606" i="1"/>
  <c r="I599" i="1" l="1"/>
  <c r="I336" i="1"/>
  <c r="H274" i="1"/>
  <c r="F208" i="1"/>
  <c r="I142" i="1"/>
  <c r="H644" i="1" l="1"/>
  <c r="H643" i="1"/>
  <c r="H642" i="1"/>
  <c r="J644" i="1"/>
  <c r="J643" i="1"/>
  <c r="J642" i="1"/>
  <c r="J641" i="1"/>
  <c r="J640" i="1"/>
  <c r="J639" i="1"/>
  <c r="I643" i="1"/>
  <c r="I642" i="1"/>
  <c r="F203" i="1" l="1"/>
  <c r="F305" i="1" l="1"/>
  <c r="F306" i="1"/>
  <c r="F307" i="1"/>
  <c r="F308" i="1"/>
  <c r="F309" i="1"/>
  <c r="F310" i="1"/>
  <c r="I311" i="1"/>
  <c r="I312" i="1" s="1"/>
  <c r="H311" i="1"/>
  <c r="H312" i="1" s="1"/>
  <c r="G312" i="1"/>
  <c r="I335" i="1"/>
  <c r="I341" i="1" s="1"/>
  <c r="I357" i="1"/>
  <c r="I363" i="1" s="1"/>
  <c r="I370" i="1"/>
  <c r="I376" i="1"/>
  <c r="F376" i="1" s="1"/>
  <c r="I286" i="1"/>
  <c r="I293" i="1"/>
  <c r="I211" i="1"/>
  <c r="I617" i="1"/>
  <c r="F617" i="1" s="1"/>
  <c r="I16" i="1"/>
  <c r="I65" i="1"/>
  <c r="F65" i="1" s="1"/>
  <c r="I141" i="1"/>
  <c r="F141" i="1" s="1"/>
  <c r="I193" i="1"/>
  <c r="I199" i="1" s="1"/>
  <c r="I206" i="1"/>
  <c r="I231" i="1"/>
  <c r="F231" i="1" s="1"/>
  <c r="I436" i="1"/>
  <c r="I443" i="1" s="1"/>
  <c r="I612" i="1"/>
  <c r="I618" i="1" s="1"/>
  <c r="I411" i="1"/>
  <c r="I418" i="1"/>
  <c r="I425" i="1"/>
  <c r="I432" i="1"/>
  <c r="I386" i="1"/>
  <c r="I401" i="1"/>
  <c r="I393" i="1"/>
  <c r="F643" i="1"/>
  <c r="F642" i="1"/>
  <c r="F641" i="1"/>
  <c r="H469" i="1"/>
  <c r="H455" i="1"/>
  <c r="H461" i="1" s="1"/>
  <c r="H448" i="1"/>
  <c r="H454" i="1" s="1"/>
  <c r="H436" i="1"/>
  <c r="H443" i="1" s="1"/>
  <c r="H273" i="1"/>
  <c r="F273" i="1" s="1"/>
  <c r="H266" i="1"/>
  <c r="H272" i="1" s="1"/>
  <c r="H249" i="1"/>
  <c r="H255" i="1" s="1"/>
  <c r="H241" i="1"/>
  <c r="H247" i="1" s="1"/>
  <c r="H200" i="1"/>
  <c r="H193" i="1"/>
  <c r="H199" i="1" s="1"/>
  <c r="H140" i="1"/>
  <c r="H23" i="1"/>
  <c r="H29" i="1" s="1"/>
  <c r="H16" i="1"/>
  <c r="F201" i="1"/>
  <c r="F202" i="1"/>
  <c r="F280" i="1"/>
  <c r="F281" i="1"/>
  <c r="F282" i="1"/>
  <c r="F283" i="1"/>
  <c r="F284" i="1"/>
  <c r="F285" i="1"/>
  <c r="F274" i="1"/>
  <c r="F275" i="1"/>
  <c r="F276" i="1"/>
  <c r="F277" i="1"/>
  <c r="F278" i="1"/>
  <c r="F267" i="1"/>
  <c r="F268" i="1"/>
  <c r="F269" i="1"/>
  <c r="F270" i="1"/>
  <c r="F271" i="1"/>
  <c r="F287" i="1"/>
  <c r="F288" i="1"/>
  <c r="F289" i="1"/>
  <c r="F290" i="1"/>
  <c r="F291" i="1"/>
  <c r="F292" i="1"/>
  <c r="H286" i="1"/>
  <c r="H293" i="1"/>
  <c r="H402" i="1"/>
  <c r="G402" i="1"/>
  <c r="F392" i="1"/>
  <c r="F391" i="1"/>
  <c r="F390" i="1"/>
  <c r="F389" i="1"/>
  <c r="F388" i="1"/>
  <c r="F387" i="1"/>
  <c r="G377" i="1"/>
  <c r="H341" i="1"/>
  <c r="H370" i="1"/>
  <c r="J349" i="1"/>
  <c r="J356" i="1"/>
  <c r="F371" i="1"/>
  <c r="H223" i="1"/>
  <c r="H212" i="1"/>
  <c r="H192" i="1"/>
  <c r="F224" i="1"/>
  <c r="F229" i="1" s="1"/>
  <c r="I229" i="1"/>
  <c r="F135" i="1"/>
  <c r="F136" i="1"/>
  <c r="F137" i="1"/>
  <c r="F138" i="1"/>
  <c r="F139" i="1"/>
  <c r="F142" i="1"/>
  <c r="F143" i="1"/>
  <c r="F144" i="1"/>
  <c r="F145" i="1"/>
  <c r="F146" i="1"/>
  <c r="F176" i="1"/>
  <c r="F181" i="1" s="1"/>
  <c r="H181" i="1"/>
  <c r="H80" i="1"/>
  <c r="H88" i="1" s="1"/>
  <c r="H57" i="1"/>
  <c r="H72" i="1" s="1"/>
  <c r="H22" i="1"/>
  <c r="G182" i="1"/>
  <c r="G183" i="1" s="1"/>
  <c r="F315" i="1"/>
  <c r="I80" i="1"/>
  <c r="I87" i="1"/>
  <c r="F82" i="1"/>
  <c r="H87" i="1"/>
  <c r="J645" i="1"/>
  <c r="J625" i="1"/>
  <c r="J618" i="1"/>
  <c r="J611" i="1"/>
  <c r="J604" i="1"/>
  <c r="I634" i="1"/>
  <c r="I635" i="1" s="1"/>
  <c r="I625" i="1"/>
  <c r="I611" i="1"/>
  <c r="I604" i="1"/>
  <c r="H635" i="1"/>
  <c r="H625" i="1"/>
  <c r="H618" i="1"/>
  <c r="H611" i="1"/>
  <c r="H604" i="1"/>
  <c r="G635" i="1"/>
  <c r="G625" i="1"/>
  <c r="G618" i="1"/>
  <c r="G611" i="1"/>
  <c r="G604" i="1"/>
  <c r="F628" i="1"/>
  <c r="F629" i="1"/>
  <c r="F630" i="1"/>
  <c r="F631" i="1"/>
  <c r="F632" i="1"/>
  <c r="F633" i="1"/>
  <c r="F619" i="1"/>
  <c r="F620" i="1"/>
  <c r="F621" i="1"/>
  <c r="F622" i="1"/>
  <c r="F623" i="1"/>
  <c r="F624" i="1"/>
  <c r="F613" i="1"/>
  <c r="F614" i="1"/>
  <c r="F615" i="1"/>
  <c r="F616" i="1"/>
  <c r="F605" i="1"/>
  <c r="F606" i="1"/>
  <c r="F607" i="1"/>
  <c r="F608" i="1"/>
  <c r="F609" i="1"/>
  <c r="F610" i="1"/>
  <c r="F598" i="1"/>
  <c r="F599" i="1"/>
  <c r="F600" i="1"/>
  <c r="F601" i="1"/>
  <c r="F602" i="1"/>
  <c r="F603" i="1"/>
  <c r="I585" i="1"/>
  <c r="I578" i="1"/>
  <c r="I571" i="1"/>
  <c r="I564" i="1"/>
  <c r="I557" i="1"/>
  <c r="I550" i="1"/>
  <c r="I540" i="1"/>
  <c r="I533" i="1"/>
  <c r="I516" i="1"/>
  <c r="I524" i="1" s="1"/>
  <c r="I485" i="1"/>
  <c r="I492" i="1"/>
  <c r="I468" i="1"/>
  <c r="I475" i="1"/>
  <c r="H475" i="1"/>
  <c r="F579" i="1"/>
  <c r="F580" i="1"/>
  <c r="F581" i="1"/>
  <c r="F582" i="1"/>
  <c r="F583" i="1"/>
  <c r="F584" i="1"/>
  <c r="F572" i="1"/>
  <c r="F573" i="1"/>
  <c r="F574" i="1"/>
  <c r="F575" i="1"/>
  <c r="F576" i="1"/>
  <c r="F577" i="1"/>
  <c r="F565" i="1"/>
  <c r="F566" i="1"/>
  <c r="F567" i="1"/>
  <c r="F568" i="1"/>
  <c r="F569" i="1"/>
  <c r="F570" i="1"/>
  <c r="F558" i="1"/>
  <c r="F559" i="1"/>
  <c r="F560" i="1"/>
  <c r="F561" i="1"/>
  <c r="F562" i="1"/>
  <c r="F563" i="1"/>
  <c r="F551" i="1"/>
  <c r="F552" i="1"/>
  <c r="F553" i="1"/>
  <c r="F554" i="1"/>
  <c r="F555" i="1"/>
  <c r="F556" i="1"/>
  <c r="F544" i="1"/>
  <c r="F545" i="1"/>
  <c r="F546" i="1"/>
  <c r="F547" i="1"/>
  <c r="F548" i="1"/>
  <c r="F549" i="1"/>
  <c r="F534" i="1"/>
  <c r="F535" i="1"/>
  <c r="F536" i="1"/>
  <c r="F537" i="1"/>
  <c r="F538" i="1"/>
  <c r="F539" i="1"/>
  <c r="F527" i="1"/>
  <c r="F528" i="1"/>
  <c r="F529" i="1"/>
  <c r="F530" i="1"/>
  <c r="F531" i="1"/>
  <c r="F532" i="1"/>
  <c r="F510" i="1"/>
  <c r="F511" i="1"/>
  <c r="F512" i="1"/>
  <c r="F513" i="1"/>
  <c r="F514" i="1"/>
  <c r="F515" i="1"/>
  <c r="F479" i="1"/>
  <c r="F480" i="1"/>
  <c r="F481" i="1"/>
  <c r="F482" i="1"/>
  <c r="F483" i="1"/>
  <c r="F484" i="1"/>
  <c r="F486" i="1"/>
  <c r="F487" i="1"/>
  <c r="F488" i="1"/>
  <c r="F489" i="1"/>
  <c r="F490" i="1"/>
  <c r="F491" i="1"/>
  <c r="G476" i="1"/>
  <c r="F449" i="1"/>
  <c r="F450" i="1"/>
  <c r="F451" i="1"/>
  <c r="F452" i="1"/>
  <c r="F453" i="1"/>
  <c r="F456" i="1"/>
  <c r="F457" i="1"/>
  <c r="F458" i="1"/>
  <c r="F459" i="1"/>
  <c r="F460" i="1"/>
  <c r="F462" i="1"/>
  <c r="F463" i="1"/>
  <c r="F464" i="1"/>
  <c r="F465" i="1"/>
  <c r="F466" i="1"/>
  <c r="F467" i="1"/>
  <c r="F469" i="1"/>
  <c r="F470" i="1"/>
  <c r="F471" i="1"/>
  <c r="F472" i="1"/>
  <c r="F473" i="1"/>
  <c r="F474" i="1"/>
  <c r="H433" i="1"/>
  <c r="F437" i="1"/>
  <c r="F438" i="1"/>
  <c r="F439" i="1"/>
  <c r="F440" i="1"/>
  <c r="F441" i="1"/>
  <c r="I442" i="1"/>
  <c r="G433" i="1"/>
  <c r="F405" i="1"/>
  <c r="F406" i="1"/>
  <c r="F407" i="1"/>
  <c r="F408" i="1"/>
  <c r="F409" i="1"/>
  <c r="F410" i="1"/>
  <c r="F412" i="1"/>
  <c r="F413" i="1"/>
  <c r="F414" i="1"/>
  <c r="F415" i="1"/>
  <c r="F416" i="1"/>
  <c r="F417" i="1"/>
  <c r="F419" i="1"/>
  <c r="F420" i="1"/>
  <c r="F421" i="1"/>
  <c r="F422" i="1"/>
  <c r="F423" i="1"/>
  <c r="F424" i="1"/>
  <c r="F426" i="1"/>
  <c r="F427" i="1"/>
  <c r="F428" i="1"/>
  <c r="F429" i="1"/>
  <c r="F430" i="1"/>
  <c r="F431" i="1"/>
  <c r="F380" i="1"/>
  <c r="F381" i="1"/>
  <c r="F382" i="1"/>
  <c r="F383" i="1"/>
  <c r="F384" i="1"/>
  <c r="F385" i="1"/>
  <c r="F395" i="1"/>
  <c r="F396" i="1"/>
  <c r="F397" i="1"/>
  <c r="F398" i="1"/>
  <c r="F399" i="1"/>
  <c r="F400" i="1"/>
  <c r="F364" i="1"/>
  <c r="F370" i="1" s="1"/>
  <c r="F358" i="1"/>
  <c r="F359" i="1"/>
  <c r="F360" i="1"/>
  <c r="F361" i="1"/>
  <c r="F362" i="1"/>
  <c r="F353" i="1"/>
  <c r="F354" i="1"/>
  <c r="F355" i="1"/>
  <c r="F346" i="1"/>
  <c r="F347" i="1"/>
  <c r="F348" i="1"/>
  <c r="F336" i="1"/>
  <c r="F337" i="1"/>
  <c r="F338" i="1"/>
  <c r="F339" i="1"/>
  <c r="F340" i="1"/>
  <c r="I302" i="1"/>
  <c r="I303" i="1" s="1"/>
  <c r="I223" i="1"/>
  <c r="I212" i="1"/>
  <c r="I192" i="1"/>
  <c r="H320" i="1"/>
  <c r="H303" i="1"/>
  <c r="G303" i="1"/>
  <c r="G294" i="1"/>
  <c r="F314" i="1"/>
  <c r="F316" i="1"/>
  <c r="F317" i="1"/>
  <c r="F318" i="1"/>
  <c r="F319" i="1"/>
  <c r="F296" i="1"/>
  <c r="F297" i="1"/>
  <c r="F298" i="1"/>
  <c r="F299" i="1"/>
  <c r="F300" i="1"/>
  <c r="F301" i="1"/>
  <c r="F242" i="1"/>
  <c r="F243" i="1"/>
  <c r="F244" i="1"/>
  <c r="F245" i="1"/>
  <c r="F246" i="1"/>
  <c r="F250" i="1"/>
  <c r="F251" i="1"/>
  <c r="F252" i="1"/>
  <c r="F253" i="1"/>
  <c r="F254" i="1"/>
  <c r="F232" i="1"/>
  <c r="F233" i="1"/>
  <c r="F234" i="1"/>
  <c r="F235" i="1"/>
  <c r="F236" i="1"/>
  <c r="F217" i="1"/>
  <c r="F218" i="1"/>
  <c r="F206" i="1"/>
  <c r="F207" i="1"/>
  <c r="F209" i="1"/>
  <c r="F210" i="1"/>
  <c r="F211" i="1"/>
  <c r="F194" i="1"/>
  <c r="F190" i="1"/>
  <c r="F191" i="1"/>
  <c r="L232" i="1"/>
  <c r="G212" i="1"/>
  <c r="I200" i="1"/>
  <c r="I204" i="1" s="1"/>
  <c r="H204" i="1"/>
  <c r="G192" i="1"/>
  <c r="I104" i="1"/>
  <c r="I96" i="1"/>
  <c r="F96" i="1" s="1"/>
  <c r="I57" i="1"/>
  <c r="I64" i="1"/>
  <c r="I22" i="1"/>
  <c r="I29" i="1"/>
  <c r="F98" i="1"/>
  <c r="F99" i="1"/>
  <c r="F100" i="1"/>
  <c r="F101" i="1"/>
  <c r="F102" i="1"/>
  <c r="F103" i="1"/>
  <c r="F95" i="1"/>
  <c r="F94" i="1"/>
  <c r="F93" i="1"/>
  <c r="F92" i="1"/>
  <c r="F91" i="1"/>
  <c r="F90" i="1"/>
  <c r="F76" i="1"/>
  <c r="F74" i="1"/>
  <c r="F51" i="1"/>
  <c r="F57" i="1" s="1"/>
  <c r="F58" i="1"/>
  <c r="F64" i="1" s="1"/>
  <c r="F66" i="1"/>
  <c r="F67" i="1"/>
  <c r="F68" i="1"/>
  <c r="F69" i="1"/>
  <c r="F70" i="1"/>
  <c r="G45" i="1"/>
  <c r="G49" i="1" s="1"/>
  <c r="F39" i="1"/>
  <c r="F40" i="1"/>
  <c r="F41" i="1"/>
  <c r="F42" i="1"/>
  <c r="F43" i="1"/>
  <c r="F44" i="1"/>
  <c r="I45" i="1"/>
  <c r="H45" i="1"/>
  <c r="J30" i="1"/>
  <c r="G22" i="1"/>
  <c r="G29" i="1"/>
  <c r="F16" i="1"/>
  <c r="F22" i="1" s="1"/>
  <c r="I238" i="1" l="1"/>
  <c r="I323" i="1" s="1"/>
  <c r="F241" i="1"/>
  <c r="F247" i="1" s="1"/>
  <c r="I71" i="1"/>
  <c r="I72" i="1" s="1"/>
  <c r="I237" i="1"/>
  <c r="F23" i="1"/>
  <c r="F29" i="1" s="1"/>
  <c r="F30" i="1" s="1"/>
  <c r="H442" i="1"/>
  <c r="F357" i="1"/>
  <c r="F363" i="1" s="1"/>
  <c r="F448" i="1"/>
  <c r="F454" i="1" s="1"/>
  <c r="F223" i="1"/>
  <c r="F335" i="1"/>
  <c r="F341" i="1" s="1"/>
  <c r="F578" i="1"/>
  <c r="F356" i="1"/>
  <c r="H279" i="1"/>
  <c r="H294" i="1" s="1"/>
  <c r="G323" i="1"/>
  <c r="I541" i="1"/>
  <c r="F541" i="1" s="1"/>
  <c r="I644" i="1"/>
  <c r="F644" i="1" s="1"/>
  <c r="I507" i="1"/>
  <c r="J377" i="1"/>
  <c r="J445" i="1" s="1"/>
  <c r="F279" i="1"/>
  <c r="F612" i="1"/>
  <c r="F618" i="1" s="1"/>
  <c r="F286" i="1"/>
  <c r="H639" i="1"/>
  <c r="H645" i="1" s="1"/>
  <c r="I639" i="1"/>
  <c r="I645" i="1" s="1"/>
  <c r="H263" i="1"/>
  <c r="I30" i="1"/>
  <c r="F349" i="1"/>
  <c r="I147" i="1"/>
  <c r="I182" i="1" s="1"/>
  <c r="H377" i="1"/>
  <c r="H445" i="1" s="1"/>
  <c r="H30" i="1"/>
  <c r="H105" i="1" s="1"/>
  <c r="F436" i="1"/>
  <c r="F442" i="1" s="1"/>
  <c r="F320" i="1"/>
  <c r="F557" i="1"/>
  <c r="F625" i="1"/>
  <c r="F80" i="1"/>
  <c r="F192" i="1"/>
  <c r="F249" i="1"/>
  <c r="F255" i="1" s="1"/>
  <c r="F425" i="1"/>
  <c r="F492" i="1"/>
  <c r="F516" i="1"/>
  <c r="F524" i="1" s="1"/>
  <c r="F550" i="1"/>
  <c r="I476" i="1"/>
  <c r="F634" i="1"/>
  <c r="F635" i="1" s="1"/>
  <c r="H626" i="1"/>
  <c r="H637" i="1" s="1"/>
  <c r="I88" i="1"/>
  <c r="F88" i="1" s="1"/>
  <c r="F193" i="1"/>
  <c r="F199" i="1" s="1"/>
  <c r="H476" i="1"/>
  <c r="H595" i="1" s="1"/>
  <c r="G30" i="1"/>
  <c r="F302" i="1"/>
  <c r="F303" i="1" s="1"/>
  <c r="F401" i="1"/>
  <c r="F386" i="1"/>
  <c r="F468" i="1"/>
  <c r="F540" i="1"/>
  <c r="F571" i="1"/>
  <c r="G626" i="1"/>
  <c r="G637" i="1" s="1"/>
  <c r="F134" i="1"/>
  <c r="F140" i="1" s="1"/>
  <c r="I433" i="1"/>
  <c r="I294" i="1"/>
  <c r="F212" i="1"/>
  <c r="F432" i="1"/>
  <c r="F418" i="1"/>
  <c r="F475" i="1"/>
  <c r="F455" i="1"/>
  <c r="F461" i="1" s="1"/>
  <c r="F485" i="1"/>
  <c r="F533" i="1"/>
  <c r="I593" i="1"/>
  <c r="F593" i="1" s="1"/>
  <c r="F611" i="1"/>
  <c r="I402" i="1"/>
  <c r="I377" i="1"/>
  <c r="F411" i="1"/>
  <c r="F45" i="1"/>
  <c r="F237" i="1"/>
  <c r="F238" i="1" s="1"/>
  <c r="F564" i="1"/>
  <c r="F585" i="1"/>
  <c r="J626" i="1"/>
  <c r="J637" i="1" s="1"/>
  <c r="F87" i="1"/>
  <c r="F393" i="1"/>
  <c r="F293" i="1"/>
  <c r="H182" i="1"/>
  <c r="F311" i="1"/>
  <c r="F312" i="1" s="1"/>
  <c r="I626" i="1"/>
  <c r="I637" i="1" s="1"/>
  <c r="F604" i="1"/>
  <c r="F640" i="1"/>
  <c r="F71" i="1"/>
  <c r="F72" i="1" s="1"/>
  <c r="F104" i="1"/>
  <c r="F147" i="1"/>
  <c r="F266" i="1"/>
  <c r="F272" i="1" s="1"/>
  <c r="F200" i="1"/>
  <c r="F204" i="1" s="1"/>
  <c r="F402" i="1" l="1"/>
  <c r="I445" i="1"/>
  <c r="F445" i="1" s="1"/>
  <c r="H323" i="1"/>
  <c r="F323" i="1" s="1"/>
  <c r="F443" i="1"/>
  <c r="F476" i="1"/>
  <c r="I595" i="1"/>
  <c r="F595" i="1" s="1"/>
  <c r="I105" i="1"/>
  <c r="I183" i="1" s="1"/>
  <c r="H183" i="1"/>
  <c r="F433" i="1"/>
  <c r="F182" i="1"/>
  <c r="F294" i="1"/>
  <c r="F263" i="1"/>
  <c r="F377" i="1"/>
  <c r="F626" i="1"/>
  <c r="F637" i="1" s="1"/>
  <c r="F507" i="1"/>
  <c r="F639" i="1"/>
  <c r="F645" i="1" s="1"/>
  <c r="F183" i="1" l="1"/>
  <c r="F105" i="1"/>
</calcChain>
</file>

<file path=xl/sharedStrings.xml><?xml version="1.0" encoding="utf-8"?>
<sst xmlns="http://schemas.openxmlformats.org/spreadsheetml/2006/main" count="598" uniqueCount="290">
  <si>
    <t>Освещение в СМИ передового педагогического опыта работы,публикации материалов о лучших педагогах, педагогических династиях</t>
  </si>
  <si>
    <t>Обеспечение условий для трудоустройства молодежи через организацию трудовых бригад, лагерей труда и отдыха для подростков</t>
  </si>
  <si>
    <t>№</t>
  </si>
  <si>
    <t>Наименование мероприятия</t>
  </si>
  <si>
    <t>Сроки реализации</t>
  </si>
  <si>
    <t>Ответственный исполнитель</t>
  </si>
  <si>
    <t>Годы</t>
  </si>
  <si>
    <t>Предполагаемый объем финансирования</t>
  </si>
  <si>
    <t>Ожидаемый эффект от реализации</t>
  </si>
  <si>
    <t>Всего</t>
  </si>
  <si>
    <t>Федеральный бюджет</t>
  </si>
  <si>
    <t>Областной бюджет</t>
  </si>
  <si>
    <t>Местный бюджет</t>
  </si>
  <si>
    <t>Приносящая доход деятельность</t>
  </si>
  <si>
    <t xml:space="preserve">Подпрограмма № 1«Повышение качества и доступности дошкольного образования» </t>
  </si>
  <si>
    <t>МЕРОПРИЯТИЕ 1. Обеспечение государственных гарантий доступности дошкольного образования</t>
  </si>
  <si>
    <t>1.1.1.</t>
  </si>
  <si>
    <t>Детский сад на 70 мест в с.Правда Холмского района Сахалинской области</t>
  </si>
  <si>
    <t>ВСЕГО</t>
  </si>
  <si>
    <t>1.1.2.</t>
  </si>
  <si>
    <t>ИТОГО по п. 1.1.</t>
  </si>
  <si>
    <t>1.2.1</t>
  </si>
  <si>
    <t>1.2.2</t>
  </si>
  <si>
    <t>ИТОГО по п. 1.2.</t>
  </si>
  <si>
    <t>1.3. Обеспечение функционирования дошкольных образовательных организаций</t>
  </si>
  <si>
    <t>1.3.1</t>
  </si>
  <si>
    <t>Оснащение дополнительно созданных мест в открываемых новых дошкольных образовательных учреждениях (ДОУ) и новых дошкольных групп в действующих ДОУ</t>
  </si>
  <si>
    <t>1.3.2</t>
  </si>
  <si>
    <t xml:space="preserve">Укрепление материально – технической базы образовательных организаций. </t>
  </si>
  <si>
    <t>Обеспечение функционирования дошкольных образовательных учреждений, в том числе с учетом современных требований энергоэффективности</t>
  </si>
  <si>
    <t>ИТОГО по п. 1.3.</t>
  </si>
  <si>
    <t>1.4. Обеспечение безопасности дошкольных образовательных организаций</t>
  </si>
  <si>
    <t>1.4.1</t>
  </si>
  <si>
    <t>ИТОГО по п. 1.4</t>
  </si>
  <si>
    <t>1.5. Улучшение материально – технических условий организации образовательного процесса в дошкольных образовательных организациях</t>
  </si>
  <si>
    <t>1.5.1</t>
  </si>
  <si>
    <t>Установка теневых навесов и малых форм в дошкольных образовательных организациях</t>
  </si>
  <si>
    <t>1.6. Формирование доступной среды</t>
  </si>
  <si>
    <t>1.6.1</t>
  </si>
  <si>
    <t>Приобретение оборудования для организации обучения детей – инвалидов в дошкольных образовательных организациях</t>
  </si>
  <si>
    <t>2.1.1</t>
  </si>
  <si>
    <t>Поддержка субъектов малого предпринимательства в сфере дошкольного образования</t>
  </si>
  <si>
    <t xml:space="preserve">Оказание поддержки субъектам малого предпринимательства по оказанию услуг дошкольного образования; повышение качества охвата детей дошкольного возраста разными формами дошкольного образования, в том числе в сельской местности. </t>
  </si>
  <si>
    <t>Финансирование за счет областного бюджета</t>
  </si>
  <si>
    <t>МЕРОПРИЯТИЕ 3. Обеспечение высокого качества услуг дошкольного образования</t>
  </si>
  <si>
    <t xml:space="preserve">3.1.Реализация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 </t>
  </si>
  <si>
    <t>3.1.1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</si>
  <si>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</t>
  </si>
  <si>
    <t>Будет обеспечен охват детей услугами дошкольного образования в возрасте от 2  месяцев до 7 лет</t>
  </si>
  <si>
    <t>3.1.2</t>
  </si>
  <si>
    <t>Реализация государственной услуги по предоставлению дошкольного образования в соответствии с федеральным государственным образовательным стандартом дошкольного образования в группах кратковременного пребывания</t>
  </si>
  <si>
    <t>Предоставление услуги заявителем, согласно поданным заявлениям</t>
  </si>
  <si>
    <t>3.2. Обновление технологий и содержания дошкольного образования за 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организацию, лучшего педагогического работника</t>
  </si>
  <si>
    <t>3.2.1.</t>
  </si>
  <si>
    <t>3.2.1.1</t>
  </si>
  <si>
    <t>ФОТ  педагогических работников дошкольных образовательных организаций</t>
  </si>
  <si>
    <t>Среднемесячная заработная плата педагогических работников муниципальных дошкольных образовательных организаций будет соответствовать среднемесячной заработной плате работников общего организаций образования в регионе повысится качество кадрового состава дошкольного образования.</t>
  </si>
  <si>
    <t>3.2.1.2.</t>
  </si>
  <si>
    <t>ФОТ  обслуживающего персонала дошкольных образовательных организаций</t>
  </si>
  <si>
    <t>3.2.2.</t>
  </si>
  <si>
    <r>
      <t>Обновление технологий и содержания дошкольного образования за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счет поддержки инновационных образовательных организаций и их сетевых объединений, в том числе путем проведения конкурсов на лучшую дошкольную образовательную организацию.</t>
    </r>
  </si>
  <si>
    <t>На конкурсной основе поддержку на внедрение инновационных образовательных технологий и практик получат победители конкурса. Будет обеспечено оснащение вновь созданных учрежденийсовременным оборудованием.</t>
  </si>
  <si>
    <t>3.2.3</t>
  </si>
  <si>
    <t>Изменение подходов к содержанию, средствам и методам организации воспитательно - образовательного процесса в дошкольных образовательных организациях</t>
  </si>
  <si>
    <t>3.2.4</t>
  </si>
  <si>
    <t>Методическая поддержка иноваций и инициатив педагогов и организаций</t>
  </si>
  <si>
    <t>Без дополнительного финансирования</t>
  </si>
  <si>
    <t>Повышение статуса педагогических работников дошкольных образовательных организаций, обобщение и распространение  их опыта работы, материальное стимулирование.</t>
  </si>
  <si>
    <t>3.2.5</t>
  </si>
  <si>
    <t>Выявление и поддержка лидеров дошкольного образования</t>
  </si>
  <si>
    <t>Финансирование за счет общих расходов</t>
  </si>
  <si>
    <t>Строительство спортивного зала Лицея "Надежда"</t>
  </si>
  <si>
    <t>2015 -2016</t>
  </si>
  <si>
    <t>1.1.3.</t>
  </si>
  <si>
    <t>1.2.1.</t>
  </si>
  <si>
    <t>2015 -2020</t>
  </si>
  <si>
    <t>Тепловая и электрическая энергия</t>
  </si>
  <si>
    <t>Мероприятие 2. «Повышение качества общего образования»</t>
  </si>
  <si>
    <t>2.1. Реализация государственной услуги по предоставлению начального общего, основного общего, среднего  общего образования по основным общеобразовательным программам</t>
  </si>
  <si>
    <t>2.1.1.</t>
  </si>
  <si>
    <r>
      <t>2.2.</t>
    </r>
    <r>
      <rPr>
        <b/>
        <sz val="11"/>
        <color indexed="8"/>
        <rFont val="Times New Roman"/>
        <family val="1"/>
        <charset val="204"/>
      </rPr>
      <t>Реализация требований федеральных государственных образовательных стандартов</t>
    </r>
  </si>
  <si>
    <t>2.2.1</t>
  </si>
  <si>
    <t>3.1 .Софинансирование расходных обязательств муниципальных образований по созданию условий для осуществления присмотра и ухода за детьми в общеобразовательных организациях, имеющих интернат, а также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(включая расходы по обеспечению содержания зданий и сооружений), которые по состоянию на 31 декабря 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 (далее – на создание условий для осуществления присмотра и ухода за детьми и на организацию предоставления образования в общеобразовательных организациях, которые имеют интернат, и (или)  по состоянию на 31.12.2001 года имели тип специальное (коррекционное) образовательное учреждение для обучающихся, воспитанников с ограниченными возможностями здоровья либо оздоровительное образовательное учреждение санаторного типа для детей, нуждающихся в длительном лечении</t>
  </si>
  <si>
    <t>3.1.2.</t>
  </si>
  <si>
    <t>2015 - 2020</t>
  </si>
  <si>
    <t>3.1.3</t>
  </si>
  <si>
    <t>Разработка нормативных документов по вопросам воспитания, дополнительного образования и профилактической работе</t>
  </si>
  <si>
    <t>2.1. Реализация муниципальной  услуги по предоставлению дополнительного образования по дополнительным  общеобразовательным программам</t>
  </si>
  <si>
    <t>2.1.2</t>
  </si>
  <si>
    <r>
      <t>2.2.</t>
    </r>
    <r>
      <rPr>
        <b/>
        <sz val="11"/>
        <color indexed="8"/>
        <rFont val="Times New Roman"/>
        <family val="1"/>
        <charset val="204"/>
      </rPr>
      <t xml:space="preserve">Укрепление материально-технической базы организаций дополнительного образования детей </t>
    </r>
  </si>
  <si>
    <t>2.2.2.</t>
  </si>
  <si>
    <t>Мероприятие 3 «Повышение кадрового потенциала образовательных организаций по вопросам дополнительного образования, воспитания, профилактической работы с детьми и социального неблагополучия в семьях»</t>
  </si>
  <si>
    <t>3.1.  Организация мероприятий, способствующих постоянному повышению уровня квалификации педагогов</t>
  </si>
  <si>
    <t>3.2.  Организация муниципальной системы обмена, распространения и внедреия положительного педагогического опыта</t>
  </si>
  <si>
    <t>4.1. Внедрение в школах муниципального образования программ профессионального самоопределения</t>
  </si>
  <si>
    <t>4.1.1.</t>
  </si>
  <si>
    <t>Организация  и проведение  муниципальных, а также участие в областных творческих конкурсах по различных направленностям дополнительного образования</t>
  </si>
  <si>
    <t>4.1.2.</t>
  </si>
  <si>
    <t>Организация и проведение муниципальных спортивных соревнований, в том числе «Президентских спортивных игр» и «Президентских состязаний».  Участие в областных соревнованиях</t>
  </si>
  <si>
    <t>4.1.3.</t>
  </si>
  <si>
    <t>4.1.4.</t>
  </si>
  <si>
    <t>Организация и проведение  мероприятий, связанных с профилактикой социального неблагополучия в семьях и жестокого обращения с детьми</t>
  </si>
  <si>
    <t>5.1.Проведение мероприятий по формированию положительного имиджа педагога в обществе</t>
  </si>
  <si>
    <t>Модернизация учебно-воспитательного процесса в организациях дополнительного образования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</si>
  <si>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</si>
  <si>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Ежемесячная денежная выплата работникам образовательных учреждений, имеющим государственные награды РФ</t>
  </si>
  <si>
    <t>Реализация ведомственной целевой программы Сахалинской области «О государственной поддержке учителей общеобразовательных учреждений при ипотечном кредитовании на 2012 – 2014 годы»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</si>
  <si>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селе.</t>
  </si>
  <si>
    <t>Заочное обучение и целевая подготовка специалистов</t>
  </si>
  <si>
    <t>Аттестация педагогический работников муниципальных образовательных организаций</t>
  </si>
  <si>
    <t>2.1.3</t>
  </si>
  <si>
    <t>Переход на конкурсную основу  отбора руководителей образовательных организаций</t>
  </si>
  <si>
    <t>2.1.4</t>
  </si>
  <si>
    <t>Введение эффективного контракта как основы трудовых отношений с руководителями, педагогами, работниками системы образования</t>
  </si>
  <si>
    <t>3.1.1.</t>
  </si>
  <si>
    <t>Повышение квалификации работников образования муниципальных образовательных организаций</t>
  </si>
  <si>
    <t>Формирование и сопровождение профессионального развития резерва руководящих кадров учреждений образования</t>
  </si>
  <si>
    <t>Проведение профориентационных мероприятий с обучающимися 10-11 классов школ (консультации, лектории, Дни открытых дверей)</t>
  </si>
  <si>
    <t>Смотры-конкурсы районных методических объединений учителей в рамках профориентационной работы с обучающимися основной и старшей школы</t>
  </si>
  <si>
    <t>5.1. Проведение мероприятий по формированию положительного имиджа педагога в обществе</t>
  </si>
  <si>
    <t>5.1.1.</t>
  </si>
  <si>
    <t>5.1.2</t>
  </si>
  <si>
    <t>5.1.3</t>
  </si>
  <si>
    <t>5.1.4</t>
  </si>
  <si>
    <t>Участие педагогов в областных  конференциях, педагогических чтениях, круглых столах</t>
  </si>
  <si>
    <t>5.1.5</t>
  </si>
  <si>
    <t>Муниципальные и областные методические выставки по лучшему инновационному опыту педагогов и образовательных организаций</t>
  </si>
  <si>
    <t>5.1.7</t>
  </si>
  <si>
    <t>Муниципальный конкурс инновационных программ</t>
  </si>
  <si>
    <t>1.1.</t>
  </si>
  <si>
    <t>Организация питания детей</t>
  </si>
  <si>
    <t>1.2.</t>
  </si>
  <si>
    <t>Реализация программ деятельности лагерей, обеспечение их необходимыми канцелярскими и хозяйственными товарами</t>
  </si>
  <si>
    <t>1.3.</t>
  </si>
  <si>
    <t>Создание условий для функционирования лагерей с питанием:Страхование, дератизация, акарицидная обработка, средства оказания первой медицинской помощи</t>
  </si>
  <si>
    <t>1.4.</t>
  </si>
  <si>
    <t>Оплата труда педагогических и медицинских работников лагерей с начислениями</t>
  </si>
  <si>
    <t>2.1.</t>
  </si>
  <si>
    <t>Оплата труда  несовершеннолетних с начислениями</t>
  </si>
  <si>
    <t>ИТОГО НА РЕАЛИЗАЦИЮ МУНИЦИПАЛЬНОЙ ПРОГРАММЫ</t>
  </si>
  <si>
    <t>Капитальный ремонт зданий образовательных учреждений позволит привести условия содержания дошкольных образовательных организаций в соответствии с санитарными и иными  требованиями законодательства</t>
  </si>
  <si>
    <t>Создание до 2015 года 70 мест для дошкольников</t>
  </si>
  <si>
    <t>Создание до 2015 года 20 мест для дошкольников</t>
  </si>
  <si>
    <t>Ресурсное обеспечение  муниципальной программы</t>
  </si>
  <si>
    <t>«Развитие образования в муниципальном образовании</t>
  </si>
  <si>
    <t xml:space="preserve"> «Холмский городской округ» на 2015-2020 годы»</t>
  </si>
  <si>
    <t>1.3.1.</t>
  </si>
  <si>
    <t>МБУ МО "Холмский городской округ" "Отдел капитального строительства"</t>
  </si>
  <si>
    <t>Капитальный ремонт зданий функционирующих дошкольных образовательных организаций в целях открытия дополнительных мест: МБДОУ д/с № 28 «Рябинка» с.Чехов - 1 группа - 20 мест; МБДОУ № 4 "Маячок"; с.Яблочное - 1 группа-20 мест</t>
  </si>
  <si>
    <t>Укрепление материально-технической базы образовательных учреждений (благоустройство территории, капитальный ремонт, разработка ПСД на благоустройство территории, разработка ПСД на капитальный ремонт)</t>
  </si>
  <si>
    <t>1.3.3</t>
  </si>
  <si>
    <t>Строительство мастерских МБОУ СОШ № 9</t>
  </si>
  <si>
    <t>1.2. Капитальный ремонт зданий функционирующих общеобразовательных организаций</t>
  </si>
  <si>
    <t>4.1</t>
  </si>
  <si>
    <t>Развитие муниципальной системы выявления одаренных детей, в том числе проведение муниципальных мероприятий, награждение одаренных школьников (медалистов, победителей и призеров предметных олимпиад)</t>
  </si>
  <si>
    <t>2.2.3.</t>
  </si>
  <si>
    <t>2.2.4.</t>
  </si>
  <si>
    <t>годы</t>
  </si>
  <si>
    <t>2015-2020</t>
  </si>
  <si>
    <t>Школа-детский сад  на 110 мест в с. Пионеры Холмского района Сахалинской области</t>
  </si>
  <si>
    <t>1.4.2</t>
  </si>
  <si>
    <t>Обеспечение пожарной безопасности на территориях образовательных организаций</t>
  </si>
  <si>
    <t>2.2.5</t>
  </si>
  <si>
    <t>3.2.6</t>
  </si>
  <si>
    <t>Оснащение дошкольных образовательных организаций специализированным учебным, учебно-наглядным и учебно-производственным оборудованием</t>
  </si>
  <si>
    <t>1.4.1.</t>
  </si>
  <si>
    <t xml:space="preserve">Создание условий для осуществления присмотра и ухода за детьми в общеобразовательных организациях, организация предоставления образования в общеобразовательных организациях. </t>
  </si>
  <si>
    <t>3.2.1. Оплата труда работников дошкольных образовательных организаций</t>
  </si>
  <si>
    <t xml:space="preserve">Оснащение специализированным учебным, учебно-наглядным и учебно-производственным оборудованием:                   - С(К)ОШ  YIII вида </t>
  </si>
  <si>
    <t>3.1.4.</t>
  </si>
  <si>
    <t>Проведение муниципальных семинаров, конференций, круглых столов по вопросам развития воспитания, дополнительного образования и профилактической работы</t>
  </si>
  <si>
    <t>Мероприятия по антитеррористической безопасности образовательных учреждений (оборудование системами видеонаблюдения, установка ограждений)</t>
  </si>
  <si>
    <t>Будет приобретено оборудование для оснащения вновь созданных мест в дошкольных образовательных учреждениях и новых дошкольных группах действующих ДОУ.</t>
  </si>
  <si>
    <t>Обеспечение стабильного функционирования  дошкольных образовательных организаций</t>
  </si>
  <si>
    <t>Обеспечение стабильного функционирования  дошкольных образовательных организаций, экономия потребления электро- и теплоэнергии</t>
  </si>
  <si>
    <t>Установка систем видеонаблюдения, кнопок экстренного вызова полиции позволит обеспечить антитеррористическую безопасность в дошкольных образовательных организациях</t>
  </si>
  <si>
    <t>Выполнение норм и требований пожарного законодательства</t>
  </si>
  <si>
    <t>Будет приобретено оборудование для оснащения действующих дошкольных образовательных учреждениях</t>
  </si>
  <si>
    <t>Обеспечение доступности общего образования. Создание к 2020 году 400 мест для школьников.</t>
  </si>
  <si>
    <t>Ввод в эксплуатацию в 2016 году объекта строительства, открытие нового спортивного зала</t>
  </si>
  <si>
    <t>2019 -2020</t>
  </si>
  <si>
    <t>2017 -2018</t>
  </si>
  <si>
    <t>Комфортные и безопасные условия обучения и воспитания в общеобразовательных учреждениях</t>
  </si>
  <si>
    <t>Мероприятия по антитеррористической безопасности образовательных учреждений (оборудование системами видеонаблюдения, установка и ремонт ограждений и наружного освещения территорий)</t>
  </si>
  <si>
    <t>Среднемесячная заработная плата педагогических работников муниципальных общеобразовательных организаций будет соответствовать среднемесячной заработной плате в регионе; повысится качество кадрового состава общего образования</t>
  </si>
  <si>
    <t>Введение федеральных государственных образовательных стандартов на 3-х ступенях обучения</t>
  </si>
  <si>
    <t>Обеспечение и проведение государственной итоговой аттестации</t>
  </si>
  <si>
    <t>2.3.</t>
  </si>
  <si>
    <t>Реализация функций по контролю за качеством образования</t>
  </si>
  <si>
    <t>Охват специальным (коррекционным) образованием населения в возрасте 7 – 17 лет</t>
  </si>
  <si>
    <t>Обеспечение стабильного функционирования образовательных организаций, экономия потребления электро- и теплоэнергии</t>
  </si>
  <si>
    <t>Увеличится удельный вес талантливых школьников, получивших поддержку со стороны государства</t>
  </si>
  <si>
    <t>5.1.</t>
  </si>
  <si>
    <t>Поддержка общеобразовательных организаций, внедряющих инновационные образовательные программы и проекты</t>
  </si>
  <si>
    <t>6.1.</t>
  </si>
  <si>
    <t xml:space="preserve">Реализация образовательных программ с применением электронного обучения и дистанционных образовательных технологий для:
- детей-инвалидов, обучающихся на дому
</t>
  </si>
  <si>
    <t>Разработка нормативных документов, регламентирующих деятельность ОУ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</si>
  <si>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Сахалинской области</t>
  </si>
  <si>
    <t xml:space="preserve"> Оплата труда работников организаций дополнительного образования детей</t>
  </si>
  <si>
    <t>Оснащение учебным, учебно-наглядным, учебно-лабораторным и другим оборудованием в соответствии с требованиями к реализации программ</t>
  </si>
  <si>
    <t>Будет приобретено оборудование для оснащения учреждений дополнительного образования</t>
  </si>
  <si>
    <t>Приобретение оборудования и материалов в соответствии с программами развития организаций</t>
  </si>
  <si>
    <t>Обеспечение стабильного функционирования учреждений дополнительного образования детей</t>
  </si>
  <si>
    <t>Повышение кадрового потенциала образовательных организаций (участие педагогов в курсах повышения квалификации)</t>
  </si>
  <si>
    <t>Повышение методического, психологического и педагогического  уровня организаторов воспитания и доп. Образования</t>
  </si>
  <si>
    <t>Повышение методического, психологического и педагогического  уровня организаторов воспитания и доп. образования</t>
  </si>
  <si>
    <t>Организация и проведение мероприятий, связанных с развитием детского и молодежного движения. Участие в областных мероприятиях</t>
  </si>
  <si>
    <t xml:space="preserve">Увеличение доли детей, участвующих в конкурсах, соревнованиях и ставших победителями и призерами </t>
  </si>
  <si>
    <t>Уменьшение количества детей в семьях, находящихся в социально опасном положении и подвергшихся жестокому обращению</t>
  </si>
  <si>
    <t>Будет в полном объеме обеспечено финансирование повышения качества учебно-воспитательного процесса</t>
  </si>
  <si>
    <t xml:space="preserve">Доля работников образовательных учреждений, получающих выплаты в соответствии с законами Сахалинской области, от числа имеющих на это право </t>
  </si>
  <si>
    <t xml:space="preserve">Повысится уровень профессионализма педагогических работников муниципальных образовательных организаций. Всем педагогам будут обеспечены возможности непрерывного профессионального развития. </t>
  </si>
  <si>
    <t xml:space="preserve">Будут обеспечены подбор и расстановка кадров в соответствии с квалификационными требованиями, установленными к педагогическим должностям </t>
  </si>
  <si>
    <t xml:space="preserve">Будет сформирована система оценки профессиональных компетенций и личностных качеств руководителей общеобразовательных организаций. </t>
  </si>
  <si>
    <t>Будет завершен переход к эффективному контракту и создана система привлечения молодых специалистов и работников с высокой мотивацией и достаточной квалификацией для обеспечения высокого качества результатов труда</t>
  </si>
  <si>
    <t xml:space="preserve">Создание системы программно-целевого подхода   непрерывного педагогического образования   педагогов муниципальных образовательных учреждений». </t>
  </si>
  <si>
    <t xml:space="preserve">Формирование резерва руководящих кадров муниципальной системы образования и механизмы его регулярного обновления и повышения квалификации                </t>
  </si>
  <si>
    <t xml:space="preserve">Создание условий   для формирования  у обучающихся положительного отношения и психологической готовности к педагогическому труду,  потребности </t>
  </si>
  <si>
    <t>Организация лагерей дневного пребывания различных видов и форм</t>
  </si>
  <si>
    <t>Открытие мастерских по технологии для обучающихся в 5-11 классах, уменьшение количества обучающихся во вторую смену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</si>
  <si>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          </t>
  </si>
  <si>
    <t>Повысится социальный статус и престиж профессии педагога.</t>
  </si>
  <si>
    <t>ИТОГО ПО МЕРОПРИЯТИЮ 2.</t>
  </si>
  <si>
    <t>1.4 Обеспечение функционирования общеобразовательных учреждений, в том числе с учетом современных требований энергоэффективности</t>
  </si>
  <si>
    <t>ИТОГО ПО МЕРОПРИЯТИЮ 3.</t>
  </si>
  <si>
    <t>МЕРОПРИЯТИЕ 2. Создание условий для  максимального охвата детей организованными формами дошкольного образования</t>
  </si>
  <si>
    <t>Мероприятие 1. Развитие инфраструктуры доступности качественного общего образования</t>
  </si>
  <si>
    <r>
      <t>Подпрограмма № 2 «Обеспечение доступности и  качества общего образования, в том числе и в сельской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 xml:space="preserve">местности» </t>
    </r>
  </si>
  <si>
    <t>Мероприятие  3. Развитие инклюзивного образования</t>
  </si>
  <si>
    <t>Мероприятие 4. Выявление и поддержка одаренных детей</t>
  </si>
  <si>
    <t>Мероприятие 5. Поддержка и распространение лучших образцов педагогической практики</t>
  </si>
  <si>
    <t>Мероприятие 6. Внедрение дистанционных образовательных технологий и электронного обучения</t>
  </si>
  <si>
    <t>Мероприятие 1. Развитие нормативно-правовой базы по вопросам воспитания, дополнительного образования, профилактики социального сиротства и жестокого обращения с детьми</t>
  </si>
  <si>
    <t>Мероприятие 2. 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</si>
  <si>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ИТОГО ПО МЕРОПРИЯТИЮ 3</t>
  </si>
  <si>
    <t>Мероприятие 4. Выявление и поддержка талантливых детей в области спорта, туризма, культуры и искусства</t>
  </si>
  <si>
    <t>ИТОГО ПО МЕРОПРИЯТИЮ 4</t>
  </si>
  <si>
    <t>Мероприятие 5. Модернизация учебно - воспитательного процесса в организациях дополнительного образования</t>
  </si>
  <si>
    <t>ИТОГО ПО МЕРОПРИЯТИЮ 5</t>
  </si>
  <si>
    <t>ВСЕГО НА РЕАЛИЗАЦИЮ ПОДПРОГРАММЫ 1</t>
  </si>
  <si>
    <t>ВСЕГО НА РЕАЛИЗАЦИЮ ПОДПРОГРАММЫ 3</t>
  </si>
  <si>
    <t>Подпрограмма 4. Развитие кадрового потенциала</t>
  </si>
  <si>
    <t>Мероприятие 1. Усиление социальной поддержки  и стимулирование  труда педагогических работников через внедрение "Эффективного контракта профессионального стандарта"</t>
  </si>
  <si>
    <t>ИТОГО ПО МЕРОПРИЯТИЮ 1</t>
  </si>
  <si>
    <t>Мероприятие 2. Обновление  состава и  компетенций педагогических кадров, создание  механизмов мотивации педагогов  к повышению  качества работы  и  непрерывному профессиональному развитию</t>
  </si>
  <si>
    <t>2.1. Развитие кадровых ресурсов муниципальной системы образования</t>
  </si>
  <si>
    <t>ИТОГО ПО МЕРОПРИЯТИЮ 2</t>
  </si>
  <si>
    <t>Мероприятие 3. 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 научно-методической поддержки педагогов и руководителей образовательных учреждений</t>
  </si>
  <si>
    <t>3.1. Реализация системы программно-целевого подхода непрерывного педагогического образования руководителей и педагогов муниципальных образовательных учреждений</t>
  </si>
  <si>
    <t>Мероприятие 4. Развитие системы профессиональной ориентации и предпрофессиональной подготовки  выпускников учреждений общего образования</t>
  </si>
  <si>
    <t>Мероприятие 5. Повышение социального  престижа и привлекательности педагогической профессии</t>
  </si>
  <si>
    <t>ВСЕГО НА РЕАЛИЗАЦИЮ ПОДПРОГРАММЫ 4</t>
  </si>
  <si>
    <t>Мероприятие 1. Организация лагерей дневного пребывания, профильных и трудовых лагерей с питанием</t>
  </si>
  <si>
    <t>ВСЕГО НА РЕАЛИЗАЦИЮ ПОДПРОГРАММЫ 5</t>
  </si>
  <si>
    <t xml:space="preserve">Оснащение учебным, учебно-наглядным и учебно-лабораторным оборудованием </t>
  </si>
  <si>
    <t>1.3. Обеспечение безопасности общеобразовательных организаций</t>
  </si>
  <si>
    <t>2016-2020</t>
  </si>
  <si>
    <t>Управление образования администрации МО «Холмский городской округ»</t>
  </si>
  <si>
    <t>Строительство новой школы в 7-ом микрорайоне на 400 мест</t>
  </si>
  <si>
    <t xml:space="preserve">ИТОГО ПО МЕРОПРИЯТИЮ 1 </t>
  </si>
  <si>
    <t>ИТОГО ПО МЕРОПРИЯТИЮ 6</t>
  </si>
  <si>
    <t>ВСЕГО НА РЕАЛИЗАЦИЮ ПОДПРОГРАММЫ 2</t>
  </si>
  <si>
    <t>Благоустройство территории, в т.ч. разработка ПСД</t>
  </si>
  <si>
    <t>2016 - 2020</t>
  </si>
  <si>
    <t xml:space="preserve">Муниципальные профессиональные конкурсы: «Учитель года», «Воспитатель года», «Самый классный классный», «Сердце отдаю детям» </t>
  </si>
  <si>
    <t>Научно - практические конференции, мастер-классы, форумы педагогов-новаторов, научно-практические семинары и круглые столы</t>
  </si>
  <si>
    <t>Муниципальный конкурс «Лидер муниципальной образовательной системы»</t>
  </si>
  <si>
    <t>Обеспечение функционирования учреждений дополнительного образования детей, в том числе с учетом современных требований энергоэффективности</t>
  </si>
  <si>
    <t>Повышение кадрового потенциала образовательных организаций (участие педагогов в областных семинарах, тренингах,конференциях)</t>
  </si>
  <si>
    <t>Подпрограмма 5. Летний отдых, оздоровление и занятость детей и молодёжи</t>
  </si>
  <si>
    <t>Подпрограмма 3 «Развитие системы воспитания, дополнительного образования, профилактики социального сиротства и жестокого обращения с детьми»</t>
  </si>
  <si>
    <t>1.1.  Строительство, реконструкция зданий дошкольных образовательных организаций, в том числе по Планам мероприятий муниципального образования «Холмский городской округ»</t>
  </si>
  <si>
    <t>1.2.  Капитальный ремонт зданий функционирующих дошкольных образовательных организаций</t>
  </si>
  <si>
    <t>Мероприятие 2. Организация временной занятости несовершеннолетних от 14 до 18 лет</t>
  </si>
  <si>
    <t>2.1. Развитие негосударственных и вариативных форм дошкольного образования</t>
  </si>
  <si>
    <t>Реализация плана поэтапного перехода к организации работы в дошкольных образовательных организациях в соответствии с федеральным государственным образовательным стандартом дошкольного образования</t>
  </si>
  <si>
    <t>Оплата труда работников общеобразовательных учреждений</t>
  </si>
  <si>
    <t>Оплата труда учителей, работающих в специальных (коррекционных) образовательных организациях для обучающихся воспитанников с ограниченными возможностями здоровья</t>
  </si>
  <si>
    <t>Конкурсный отбор общеобразовательных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</si>
  <si>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 xml:space="preserve">Обеспечение условий для детей-инвалидов, обучающихся на дому, с применением дистанционных образовательных технологий, в том числе: оплата труда учителей, работающих с детьми - инвалидами, обучающимися на дому </t>
  </si>
  <si>
    <t>5.1.6</t>
  </si>
  <si>
    <t>Приложение № 3</t>
  </si>
  <si>
    <t xml:space="preserve">к муниципальной программе «Развитие образования в муниципальном образовании «Холмский городской округ» на 2015-2020 годы» </t>
  </si>
  <si>
    <t xml:space="preserve">Будут созданы условия для формирования позитивного образа педагога, повышения социального статуса и престижа профессии, трансформации и использования передового педагогического опыта лидеров образования и лучших педагогических практик       </t>
  </si>
  <si>
    <t xml:space="preserve">Укрепление материально – технической базы образовательных учреждений (капитальный ремонт, замена оконных блоков, благоустройство территории, в том числе разработка проектно-сметной документации) </t>
  </si>
  <si>
    <t>1.2.2.</t>
  </si>
  <si>
    <t>2016 -2017</t>
  </si>
  <si>
    <t>Укрепление материально – технической базы образовательных учреждений. «Капитальный ремонт МБОУ СОШ с.Костромское» по адресу: Сахалинская область, Холмский район, с. Костромское, ул. Центральная, 4»</t>
  </si>
  <si>
    <t>1.2.3.</t>
  </si>
  <si>
    <t>Укрепление материально – технической базы образовательных учреждений. «Капитальный ремонт купола зимнего сада МБДОУ детского сада «Теремок» г. Холмска»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</si>
</sst>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name val="Arial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name val="Arial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8" fillId="0" borderId="2" xfId="0" applyNumberFormat="1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/>
    <xf numFmtId="164" fontId="7" fillId="0" borderId="2" xfId="0" applyNumberFormat="1" applyFont="1" applyFill="1" applyBorder="1" applyAlignment="1"/>
    <xf numFmtId="164" fontId="7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7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8" fillId="0" borderId="2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12" fillId="0" borderId="2" xfId="0" applyNumberFormat="1" applyFont="1" applyFill="1" applyBorder="1" applyAlignment="1"/>
    <xf numFmtId="164" fontId="8" fillId="0" borderId="3" xfId="0" applyNumberFormat="1" applyFont="1" applyFill="1" applyBorder="1"/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justify" vertical="top" wrapText="1"/>
    </xf>
    <xf numFmtId="164" fontId="8" fillId="0" borderId="3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justify" vertical="top" wrapText="1"/>
    </xf>
    <xf numFmtId="0" fontId="8" fillId="0" borderId="2" xfId="0" applyFont="1" applyFill="1" applyBorder="1" applyAlignment="1"/>
    <xf numFmtId="0" fontId="0" fillId="0" borderId="3" xfId="0" applyFill="1" applyBorder="1"/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3" xfId="0" applyNumberFormat="1" applyFont="1" applyFill="1" applyBorder="1" applyAlignment="1"/>
    <xf numFmtId="0" fontId="14" fillId="0" borderId="0" xfId="0" applyFont="1" applyFill="1"/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3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164" fontId="0" fillId="0" borderId="2" xfId="0" applyNumberFormat="1" applyFill="1" applyBorder="1" applyAlignment="1"/>
    <xf numFmtId="0" fontId="8" fillId="0" borderId="5" xfId="0" applyFont="1" applyFill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/>
    <xf numFmtId="0" fontId="0" fillId="0" borderId="0" xfId="0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horizontal="justify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/>
    <xf numFmtId="0" fontId="3" fillId="0" borderId="4" xfId="0" applyFont="1" applyFill="1" applyBorder="1" applyAlignment="1"/>
    <xf numFmtId="164" fontId="8" fillId="0" borderId="3" xfId="0" applyNumberFormat="1" applyFont="1" applyFill="1" applyBorder="1" applyAlignment="1"/>
    <xf numFmtId="0" fontId="15" fillId="0" borderId="0" xfId="0" applyFont="1" applyFill="1" applyBorder="1" applyAlignment="1">
      <alignment horizontal="justify" vertical="top" wrapText="1"/>
    </xf>
    <xf numFmtId="4" fontId="0" fillId="0" borderId="0" xfId="0" applyNumberFormat="1" applyFill="1" applyBorder="1"/>
    <xf numFmtId="0" fontId="18" fillId="0" borderId="0" xfId="0" applyFont="1" applyFill="1" applyBorder="1" applyAlignment="1">
      <alignment horizontal="justify" vertical="top" wrapText="1"/>
    </xf>
    <xf numFmtId="0" fontId="0" fillId="0" borderId="0" xfId="0" applyFill="1" applyBorder="1" applyAlignment="1"/>
    <xf numFmtId="0" fontId="8" fillId="0" borderId="11" xfId="0" applyFont="1" applyFill="1" applyBorder="1" applyAlignment="1">
      <alignment horizontal="justify" vertical="top" wrapText="1"/>
    </xf>
    <xf numFmtId="164" fontId="2" fillId="0" borderId="2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0" fillId="0" borderId="11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8" fillId="0" borderId="2" xfId="0" applyFont="1" applyFill="1" applyBorder="1" applyAlignment="1">
      <alignment horizontal="justify" vertical="top" wrapText="1"/>
    </xf>
    <xf numFmtId="0" fontId="20" fillId="0" borderId="1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9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2" xfId="0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7" fillId="0" borderId="7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vertical="top" wrapText="1"/>
    </xf>
    <xf numFmtId="4" fontId="3" fillId="0" borderId="4" xfId="0" applyNumberFormat="1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justify" vertical="top" wrapText="1"/>
    </xf>
    <xf numFmtId="164" fontId="3" fillId="0" borderId="15" xfId="0" applyNumberFormat="1" applyFont="1" applyFill="1" applyBorder="1" applyAlignment="1">
      <alignment horizontal="justify" vertical="top"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4" fontId="8" fillId="0" borderId="15" xfId="0" applyNumberFormat="1" applyFont="1" applyFill="1" applyBorder="1" applyAlignment="1">
      <alignment horizontal="right" vertical="top" wrapText="1"/>
    </xf>
    <xf numFmtId="164" fontId="3" fillId="0" borderId="10" xfId="0" applyNumberFormat="1" applyFont="1" applyFill="1" applyBorder="1" applyAlignment="1"/>
    <xf numFmtId="0" fontId="0" fillId="0" borderId="2" xfId="0" applyFill="1" applyBorder="1"/>
    <xf numFmtId="164" fontId="2" fillId="0" borderId="2" xfId="0" applyNumberFormat="1" applyFont="1" applyFill="1" applyBorder="1" applyAlignment="1">
      <alignment wrapText="1"/>
    </xf>
    <xf numFmtId="0" fontId="20" fillId="0" borderId="5" xfId="0" applyFont="1" applyFill="1" applyBorder="1" applyAlignment="1">
      <alignment vertical="top" wrapText="1"/>
    </xf>
    <xf numFmtId="0" fontId="20" fillId="0" borderId="6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2" fontId="0" fillId="0" borderId="0" xfId="0" applyNumberFormat="1" applyFill="1"/>
    <xf numFmtId="0" fontId="2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wrapText="1"/>
    </xf>
    <xf numFmtId="0" fontId="14" fillId="0" borderId="2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right" wrapText="1"/>
    </xf>
    <xf numFmtId="0" fontId="2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1" fillId="0" borderId="2" xfId="0" applyFont="1" applyFill="1" applyBorder="1" applyAlignment="1">
      <alignment horizontal="justify" vertical="top" wrapText="1"/>
    </xf>
    <xf numFmtId="164" fontId="8" fillId="0" borderId="2" xfId="0" applyNumberFormat="1" applyFont="1" applyFill="1" applyBorder="1" applyAlignment="1">
      <alignment horizontal="justify" wrapText="1"/>
    </xf>
    <xf numFmtId="164" fontId="11" fillId="0" borderId="2" xfId="0" applyNumberFormat="1" applyFont="1" applyFill="1" applyBorder="1" applyAlignment="1">
      <alignment horizontal="justify" vertical="top" wrapText="1"/>
    </xf>
    <xf numFmtId="164" fontId="8" fillId="0" borderId="2" xfId="0" applyNumberFormat="1" applyFont="1" applyFill="1" applyBorder="1"/>
    <xf numFmtId="164" fontId="12" fillId="0" borderId="2" xfId="0" applyNumberFormat="1" applyFont="1" applyFill="1" applyBorder="1"/>
    <xf numFmtId="164" fontId="3" fillId="0" borderId="16" xfId="0" applyNumberFormat="1" applyFont="1" applyFill="1" applyBorder="1" applyAlignment="1"/>
    <xf numFmtId="164" fontId="8" fillId="0" borderId="16" xfId="0" applyNumberFormat="1" applyFont="1" applyFill="1" applyBorder="1" applyAlignment="1"/>
    <xf numFmtId="0" fontId="0" fillId="0" borderId="3" xfId="0" applyFill="1" applyBorder="1" applyAlignment="1"/>
    <xf numFmtId="164" fontId="3" fillId="0" borderId="30" xfId="0" applyNumberFormat="1" applyFont="1" applyFill="1" applyBorder="1" applyAlignment="1">
      <alignment horizontal="right" vertical="top" wrapText="1"/>
    </xf>
    <xf numFmtId="0" fontId="8" fillId="0" borderId="42" xfId="0" applyFont="1" applyFill="1" applyBorder="1" applyAlignment="1">
      <alignment horizontal="justify" vertical="top" wrapText="1"/>
    </xf>
    <xf numFmtId="164" fontId="8" fillId="0" borderId="42" xfId="0" applyNumberFormat="1" applyFont="1" applyFill="1" applyBorder="1" applyAlignment="1">
      <alignment horizontal="right" vertical="top" wrapText="1"/>
    </xf>
    <xf numFmtId="164" fontId="8" fillId="0" borderId="42" xfId="0" applyNumberFormat="1" applyFont="1" applyFill="1" applyBorder="1" applyAlignment="1">
      <alignment horizontal="justify" vertical="top" wrapText="1"/>
    </xf>
    <xf numFmtId="0" fontId="8" fillId="0" borderId="43" xfId="0" applyFont="1" applyFill="1" applyBorder="1" applyAlignment="1">
      <alignment horizontal="justify" vertical="top" wrapText="1"/>
    </xf>
    <xf numFmtId="0" fontId="16" fillId="0" borderId="42" xfId="0" applyFont="1" applyFill="1" applyBorder="1" applyAlignment="1">
      <alignment horizontal="justify" vertical="top" wrapText="1"/>
    </xf>
    <xf numFmtId="164" fontId="11" fillId="0" borderId="42" xfId="0" applyNumberFormat="1" applyFont="1" applyFill="1" applyBorder="1" applyAlignment="1">
      <alignment horizontal="justify" vertical="top" wrapText="1"/>
    </xf>
    <xf numFmtId="0" fontId="11" fillId="0" borderId="43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horizontal="justify" vertical="top" wrapText="1"/>
    </xf>
    <xf numFmtId="0" fontId="0" fillId="0" borderId="2" xfId="0" applyFill="1" applyBorder="1" applyAlignment="1">
      <alignment wrapText="1"/>
    </xf>
    <xf numFmtId="0" fontId="7" fillId="0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0" fillId="0" borderId="2" xfId="0" applyFill="1" applyBorder="1" applyAlignment="1">
      <alignment horizontal="justify" vertical="top" wrapText="1"/>
    </xf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/>
    <xf numFmtId="49" fontId="10" fillId="0" borderId="10" xfId="0" applyNumberFormat="1" applyFont="1" applyFill="1" applyBorder="1" applyAlignment="1">
      <alignment horizontal="justify" wrapText="1"/>
    </xf>
    <xf numFmtId="49" fontId="0" fillId="0" borderId="10" xfId="0" applyNumberFormat="1" applyFill="1" applyBorder="1" applyAlignment="1"/>
    <xf numFmtId="49" fontId="0" fillId="0" borderId="13" xfId="0" applyNumberFormat="1" applyFill="1" applyBorder="1" applyAlignment="1"/>
    <xf numFmtId="0" fontId="2" fillId="0" borderId="33" xfId="0" applyFont="1" applyFill="1" applyBorder="1" applyAlignment="1">
      <alignment wrapText="1"/>
    </xf>
    <xf numFmtId="0" fontId="9" fillId="0" borderId="3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7" fillId="0" borderId="41" xfId="0" applyFont="1" applyFill="1" applyBorder="1" applyAlignment="1">
      <alignment wrapText="1"/>
    </xf>
    <xf numFmtId="0" fontId="9" fillId="0" borderId="42" xfId="0" applyFont="1" applyFill="1" applyBorder="1" applyAlignment="1">
      <alignment wrapText="1"/>
    </xf>
    <xf numFmtId="0" fontId="9" fillId="0" borderId="43" xfId="0" applyFont="1" applyFill="1" applyBorder="1" applyAlignment="1">
      <alignment wrapText="1"/>
    </xf>
    <xf numFmtId="49" fontId="3" fillId="0" borderId="19" xfId="0" applyNumberFormat="1" applyFont="1" applyFill="1" applyBorder="1" applyAlignment="1"/>
    <xf numFmtId="49" fontId="3" fillId="0" borderId="10" xfId="0" applyNumberFormat="1" applyFont="1" applyFill="1" applyBorder="1" applyAlignment="1"/>
    <xf numFmtId="49" fontId="3" fillId="0" borderId="13" xfId="0" applyNumberFormat="1" applyFont="1" applyFill="1" applyBorder="1" applyAlignment="1"/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/>
    <xf numFmtId="0" fontId="17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19" fillId="0" borderId="3" xfId="0" applyFont="1" applyFill="1" applyBorder="1" applyAlignment="1">
      <alignment horizontal="justify" wrapText="1"/>
    </xf>
    <xf numFmtId="0" fontId="9" fillId="0" borderId="16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horizontal="justify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2" xfId="0" applyFill="1" applyBorder="1" applyAlignment="1"/>
    <xf numFmtId="0" fontId="1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9" fillId="0" borderId="27" xfId="0" applyFont="1" applyFill="1" applyBorder="1" applyAlignment="1">
      <alignment wrapText="1"/>
    </xf>
    <xf numFmtId="0" fontId="3" fillId="0" borderId="10" xfId="0" applyFont="1" applyFill="1" applyBorder="1" applyAlignment="1"/>
    <xf numFmtId="0" fontId="2" fillId="0" borderId="3" xfId="0" applyFont="1" applyFill="1" applyBorder="1" applyAlignment="1">
      <alignment horizontal="justify" wrapText="1"/>
    </xf>
    <xf numFmtId="0" fontId="2" fillId="0" borderId="16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 vertical="top" wrapText="1"/>
    </xf>
    <xf numFmtId="0" fontId="3" fillId="0" borderId="13" xfId="0" applyFont="1" applyFill="1" applyBorder="1" applyAlignment="1"/>
    <xf numFmtId="0" fontId="3" fillId="0" borderId="3" xfId="0" applyFont="1" applyFill="1" applyBorder="1" applyAlignment="1"/>
    <xf numFmtId="0" fontId="3" fillId="0" borderId="16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22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/>
    <xf numFmtId="0" fontId="7" fillId="0" borderId="2" xfId="0" applyFont="1" applyFill="1" applyBorder="1" applyAlignment="1"/>
    <xf numFmtId="0" fontId="2" fillId="0" borderId="3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/>
    <xf numFmtId="0" fontId="13" fillId="0" borderId="2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5" xfId="0" applyFont="1" applyFill="1" applyBorder="1" applyAlignment="1"/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14" fillId="0" borderId="15" xfId="0" applyFont="1" applyFill="1" applyBorder="1" applyAlignment="1">
      <alignment wrapText="1"/>
    </xf>
    <xf numFmtId="0" fontId="7" fillId="0" borderId="34" xfId="0" applyFont="1" applyFill="1" applyBorder="1" applyAlignment="1">
      <alignment horizontal="justify" vertical="top" wrapText="1"/>
    </xf>
    <xf numFmtId="0" fontId="0" fillId="0" borderId="11" xfId="0" applyFill="1" applyBorder="1" applyAlignment="1">
      <alignment horizontal="justify" vertical="top" wrapText="1"/>
    </xf>
    <xf numFmtId="0" fontId="0" fillId="0" borderId="12" xfId="0" applyFill="1" applyBorder="1" applyAlignment="1">
      <alignment horizontal="justify" vertical="top" wrapText="1"/>
    </xf>
    <xf numFmtId="0" fontId="2" fillId="0" borderId="36" xfId="0" applyFont="1" applyFill="1" applyBorder="1" applyAlignment="1">
      <alignment horizontal="justify" wrapText="1"/>
    </xf>
    <xf numFmtId="0" fontId="9" fillId="0" borderId="37" xfId="0" applyFont="1" applyFill="1" applyBorder="1" applyAlignment="1">
      <alignment horizontal="justify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/>
    <xf numFmtId="0" fontId="7" fillId="0" borderId="10" xfId="0" applyFont="1" applyFill="1" applyBorder="1" applyAlignment="1">
      <alignment horizontal="justify" wrapText="1"/>
    </xf>
    <xf numFmtId="0" fontId="9" fillId="0" borderId="24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wrapText="1"/>
    </xf>
    <xf numFmtId="0" fontId="3" fillId="0" borderId="10" xfId="0" applyFont="1" applyFill="1" applyBorder="1" applyAlignment="1">
      <alignment horizontal="justify" vertical="top" wrapText="1"/>
    </xf>
    <xf numFmtId="0" fontId="1" fillId="0" borderId="24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10" fillId="0" borderId="9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0" fillId="0" borderId="39" xfId="0" applyFont="1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wrapText="1"/>
    </xf>
    <xf numFmtId="0" fontId="25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0" fillId="0" borderId="16" xfId="0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0" fontId="7" fillId="0" borderId="31" xfId="0" applyFont="1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4" fillId="0" borderId="41" xfId="0" applyFont="1" applyFill="1" applyBorder="1" applyAlignment="1">
      <alignment horizontal="justify" vertical="top" wrapText="1"/>
    </xf>
    <xf numFmtId="0" fontId="28" fillId="0" borderId="42" xfId="0" applyFont="1" applyFill="1" applyBorder="1" applyAlignment="1">
      <alignment horizontal="justify" vertical="top" wrapText="1"/>
    </xf>
    <xf numFmtId="0" fontId="2" fillId="0" borderId="23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28" xfId="0" applyFont="1" applyFill="1" applyBorder="1" applyAlignment="1" applyProtection="1">
      <alignment vertical="center" wrapText="1"/>
      <protection locked="0"/>
    </xf>
    <xf numFmtId="0" fontId="19" fillId="0" borderId="26" xfId="0" applyFont="1" applyFill="1" applyBorder="1" applyAlignment="1">
      <alignment wrapText="1"/>
    </xf>
    <xf numFmtId="0" fontId="14" fillId="0" borderId="34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  <xf numFmtId="0" fontId="14" fillId="0" borderId="33" xfId="0" applyFont="1" applyFill="1" applyBorder="1" applyAlignment="1">
      <alignment wrapText="1"/>
    </xf>
    <xf numFmtId="0" fontId="22" fillId="0" borderId="7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justify" wrapText="1"/>
    </xf>
    <xf numFmtId="49" fontId="22" fillId="0" borderId="16" xfId="0" applyNumberFormat="1" applyFont="1" applyFill="1" applyBorder="1" applyAlignment="1"/>
    <xf numFmtId="49" fontId="22" fillId="0" borderId="17" xfId="0" applyNumberFormat="1" applyFont="1" applyFill="1" applyBorder="1" applyAlignment="1"/>
    <xf numFmtId="0" fontId="9" fillId="0" borderId="2" xfId="0" applyFont="1" applyFill="1" applyBorder="1" applyAlignment="1"/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>
      <alignment horizontal="justify" vertical="top" wrapText="1"/>
    </xf>
    <xf numFmtId="0" fontId="19" fillId="0" borderId="21" xfId="0" applyFont="1" applyFill="1" applyBorder="1" applyAlignment="1">
      <alignment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justify" wrapText="1"/>
    </xf>
    <xf numFmtId="0" fontId="22" fillId="0" borderId="16" xfId="0" applyFont="1" applyFill="1" applyBorder="1" applyAlignment="1"/>
    <xf numFmtId="0" fontId="22" fillId="0" borderId="17" xfId="0" applyFont="1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justify" wrapText="1"/>
    </xf>
    <xf numFmtId="49" fontId="0" fillId="0" borderId="2" xfId="0" applyNumberFormat="1" applyFill="1" applyBorder="1" applyAlignment="1"/>
    <xf numFmtId="0" fontId="19" fillId="0" borderId="2" xfId="0" applyFont="1" applyFill="1" applyBorder="1" applyAlignment="1">
      <alignment wrapText="1"/>
    </xf>
    <xf numFmtId="0" fontId="22" fillId="0" borderId="2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10" fillId="0" borderId="3" xfId="0" applyFont="1" applyFill="1" applyBorder="1" applyAlignment="1">
      <alignment horizontal="justify" wrapText="1"/>
    </xf>
    <xf numFmtId="0" fontId="0" fillId="0" borderId="16" xfId="0" applyFill="1" applyBorder="1" applyAlignment="1"/>
    <xf numFmtId="0" fontId="10" fillId="0" borderId="10" xfId="0" applyFont="1" applyFill="1" applyBorder="1" applyAlignment="1">
      <alignment horizontal="justify" wrapText="1"/>
    </xf>
    <xf numFmtId="0" fontId="0" fillId="0" borderId="10" xfId="0" applyFill="1" applyBorder="1" applyAlignment="1"/>
    <xf numFmtId="0" fontId="19" fillId="0" borderId="2" xfId="0" applyFont="1" applyFill="1" applyBorder="1" applyAlignment="1">
      <alignment horizontal="justify" wrapText="1"/>
    </xf>
    <xf numFmtId="0" fontId="10" fillId="0" borderId="19" xfId="0" applyFont="1" applyFill="1" applyBorder="1" applyAlignment="1">
      <alignment horizontal="justify" wrapText="1"/>
    </xf>
    <xf numFmtId="0" fontId="0" fillId="0" borderId="13" xfId="0" applyFill="1" applyBorder="1" applyAlignment="1"/>
    <xf numFmtId="0" fontId="7" fillId="0" borderId="3" xfId="0" applyFont="1" applyFill="1" applyBorder="1" applyAlignment="1">
      <alignment wrapText="1"/>
    </xf>
    <xf numFmtId="49" fontId="3" fillId="0" borderId="16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19" fillId="0" borderId="3" xfId="0" applyFont="1" applyFill="1" applyBorder="1" applyAlignment="1">
      <alignment horizontal="left" wrapText="1"/>
    </xf>
    <xf numFmtId="0" fontId="19" fillId="0" borderId="1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7" fillId="0" borderId="41" xfId="0" applyFont="1" applyFill="1" applyBorder="1" applyAlignment="1">
      <alignment horizontal="justify" vertical="top" wrapText="1"/>
    </xf>
    <xf numFmtId="0" fontId="9" fillId="0" borderId="42" xfId="0" applyFont="1" applyFill="1" applyBorder="1" applyAlignment="1">
      <alignment horizontal="justify" vertical="top" wrapText="1"/>
    </xf>
    <xf numFmtId="0" fontId="7" fillId="0" borderId="34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justify" vertical="top" wrapText="1"/>
    </xf>
    <xf numFmtId="49" fontId="9" fillId="0" borderId="2" xfId="0" applyNumberFormat="1" applyFont="1" applyFill="1" applyBorder="1" applyAlignment="1"/>
    <xf numFmtId="49" fontId="9" fillId="0" borderId="3" xfId="0" applyNumberFormat="1" applyFont="1" applyFill="1" applyBorder="1" applyAlignment="1"/>
    <xf numFmtId="0" fontId="19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35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2" fillId="0" borderId="10" xfId="0" applyFont="1" applyFill="1" applyBorder="1" applyAlignment="1">
      <alignment horizontal="justify" wrapText="1"/>
    </xf>
    <xf numFmtId="0" fontId="9" fillId="0" borderId="10" xfId="0" applyFont="1" applyFill="1" applyBorder="1" applyAlignment="1"/>
    <xf numFmtId="0" fontId="0" fillId="0" borderId="24" xfId="0" applyFill="1" applyBorder="1" applyAlignment="1">
      <alignment horizontal="justify" wrapText="1"/>
    </xf>
    <xf numFmtId="0" fontId="0" fillId="0" borderId="4" xfId="0" applyFill="1" applyBorder="1" applyAlignment="1">
      <alignment horizontal="justify" wrapText="1"/>
    </xf>
    <xf numFmtId="49" fontId="10" fillId="0" borderId="3" xfId="0" applyNumberFormat="1" applyFont="1" applyFill="1" applyBorder="1" applyAlignment="1">
      <alignment horizontal="justify" wrapText="1"/>
    </xf>
    <xf numFmtId="49" fontId="0" fillId="0" borderId="16" xfId="0" applyNumberFormat="1" applyFill="1" applyBorder="1" applyAlignment="1"/>
    <xf numFmtId="49" fontId="0" fillId="0" borderId="1" xfId="0" applyNumberFormat="1" applyFill="1" applyBorder="1" applyAlignment="1"/>
    <xf numFmtId="0" fontId="9" fillId="0" borderId="25" xfId="0" applyFont="1" applyFill="1" applyBorder="1" applyAlignment="1">
      <alignment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27" xfId="0" applyFont="1" applyFill="1" applyBorder="1" applyAlignment="1">
      <alignment wrapText="1"/>
    </xf>
    <xf numFmtId="0" fontId="7" fillId="0" borderId="10" xfId="0" applyFont="1" applyFill="1" applyBorder="1" applyAlignment="1">
      <alignment horizontal="justify" vertical="top" wrapText="1"/>
    </xf>
    <xf numFmtId="0" fontId="0" fillId="0" borderId="24" xfId="0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0" fillId="0" borderId="33" xfId="0" applyFont="1" applyFill="1" applyBorder="1" applyAlignment="1">
      <alignment horizontal="justify" wrapText="1"/>
    </xf>
    <xf numFmtId="0" fontId="0" fillId="0" borderId="32" xfId="0" applyFill="1" applyBorder="1" applyAlignment="1">
      <alignment horizontal="justify" wrapText="1"/>
    </xf>
    <xf numFmtId="0" fontId="0" fillId="0" borderId="25" xfId="0" applyFill="1" applyBorder="1" applyAlignment="1">
      <alignment horizontal="justify" wrapText="1"/>
    </xf>
    <xf numFmtId="0" fontId="14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10" fillId="0" borderId="36" xfId="0" applyFont="1" applyFill="1" applyBorder="1" applyAlignment="1">
      <alignment horizontal="justify" wrapText="1"/>
    </xf>
    <xf numFmtId="0" fontId="0" fillId="0" borderId="37" xfId="0" applyFill="1" applyBorder="1" applyAlignment="1">
      <alignment horizontal="justify" wrapText="1"/>
    </xf>
    <xf numFmtId="0" fontId="0" fillId="0" borderId="38" xfId="0" applyFill="1" applyBorder="1" applyAlignment="1">
      <alignment horizontal="justify" wrapText="1"/>
    </xf>
    <xf numFmtId="0" fontId="2" fillId="0" borderId="26" xfId="0" applyFont="1" applyFill="1" applyBorder="1" applyAlignment="1">
      <alignment horizontal="justify" wrapText="1"/>
    </xf>
    <xf numFmtId="0" fontId="9" fillId="0" borderId="21" xfId="0" applyFont="1" applyFill="1" applyBorder="1" applyAlignment="1">
      <alignment horizontal="justify" wrapText="1"/>
    </xf>
    <xf numFmtId="49" fontId="10" fillId="0" borderId="19" xfId="0" applyNumberFormat="1" applyFont="1" applyFill="1" applyBorder="1" applyAlignment="1">
      <alignment horizontal="justify" wrapText="1"/>
    </xf>
    <xf numFmtId="0" fontId="0" fillId="0" borderId="3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horizontal="justify" vertical="top" wrapText="1"/>
    </xf>
    <xf numFmtId="0" fontId="22" fillId="0" borderId="7" xfId="0" applyFont="1" applyFill="1" applyBorder="1" applyAlignment="1">
      <alignment horizontal="justify" vertical="top" wrapText="1"/>
    </xf>
    <xf numFmtId="0" fontId="22" fillId="0" borderId="8" xfId="0" applyFont="1" applyFill="1" applyBorder="1" applyAlignment="1">
      <alignment horizontal="justify" vertical="top" wrapText="1"/>
    </xf>
    <xf numFmtId="0" fontId="14" fillId="0" borderId="10" xfId="0" applyFont="1" applyFill="1" applyBorder="1" applyAlignment="1">
      <alignment horizontal="justify" wrapText="1"/>
    </xf>
    <xf numFmtId="0" fontId="10" fillId="0" borderId="16" xfId="0" applyFont="1" applyFill="1" applyBorder="1" applyAlignment="1">
      <alignment horizontal="justify" wrapText="1"/>
    </xf>
    <xf numFmtId="0" fontId="0" fillId="0" borderId="17" xfId="0" applyFill="1" applyBorder="1" applyAlignment="1"/>
    <xf numFmtId="49" fontId="3" fillId="0" borderId="3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47"/>
  <sheetViews>
    <sheetView tabSelected="1" view="pageBreakPreview" topLeftCell="A626" zoomScaleNormal="100" zoomScaleSheetLayoutView="100" workbookViewId="0">
      <selection activeCell="I640" sqref="I640"/>
    </sheetView>
  </sheetViews>
  <sheetFormatPr defaultRowHeight="12.75" x14ac:dyDescent="0.2"/>
  <cols>
    <col min="1" max="1" width="6.28515625" style="4" customWidth="1"/>
    <col min="2" max="2" width="28" style="4" customWidth="1"/>
    <col min="3" max="3" width="11.140625" style="4" customWidth="1"/>
    <col min="4" max="4" width="15" style="4" customWidth="1"/>
    <col min="5" max="5" width="8.5703125" style="4" customWidth="1"/>
    <col min="6" max="6" width="11.7109375" style="4" customWidth="1"/>
    <col min="7" max="7" width="11.140625" style="4" customWidth="1"/>
    <col min="8" max="8" width="11.5703125" style="4" customWidth="1"/>
    <col min="9" max="9" width="13" style="4" customWidth="1"/>
    <col min="10" max="10" width="14.42578125" style="4" customWidth="1"/>
    <col min="11" max="11" width="29.7109375" style="4" customWidth="1"/>
    <col min="12" max="12" width="10.140625" style="4" bestFit="1" customWidth="1"/>
    <col min="13" max="16384" width="9.140625" style="4"/>
  </cols>
  <sheetData>
    <row r="1" spans="1:26" ht="19.5" customHeight="1" x14ac:dyDescent="0.2">
      <c r="H1" s="207" t="s">
        <v>281</v>
      </c>
      <c r="I1" s="207"/>
      <c r="J1" s="207"/>
      <c r="K1" s="207"/>
    </row>
    <row r="2" spans="1:26" ht="24" customHeight="1" x14ac:dyDescent="0.2">
      <c r="H2" s="208" t="s">
        <v>282</v>
      </c>
      <c r="I2" s="209"/>
      <c r="J2" s="209"/>
      <c r="K2" s="209"/>
    </row>
    <row r="3" spans="1:26" ht="15.75" customHeight="1" x14ac:dyDescent="0.2">
      <c r="C3" s="140"/>
      <c r="F3" s="140"/>
      <c r="G3" s="140"/>
      <c r="H3" s="140"/>
    </row>
    <row r="4" spans="1:26" ht="15.75" x14ac:dyDescent="0.25">
      <c r="C4" s="29"/>
    </row>
    <row r="5" spans="1:26" ht="12.75" customHeight="1" x14ac:dyDescent="0.25">
      <c r="A5" s="214" t="s">
        <v>143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</row>
    <row r="6" spans="1:26" ht="12.75" customHeight="1" x14ac:dyDescent="0.25">
      <c r="A6" s="214" t="s">
        <v>144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26" ht="12.75" customHeight="1" x14ac:dyDescent="0.25">
      <c r="A7" s="214" t="s">
        <v>145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</row>
    <row r="10" spans="1:26" ht="18" customHeight="1" x14ac:dyDescent="0.25">
      <c r="A10" s="210" t="s">
        <v>2</v>
      </c>
      <c r="B10" s="210" t="s">
        <v>3</v>
      </c>
      <c r="C10" s="210" t="s">
        <v>4</v>
      </c>
      <c r="D10" s="210" t="s">
        <v>5</v>
      </c>
      <c r="E10" s="210" t="s">
        <v>6</v>
      </c>
      <c r="F10" s="210" t="s">
        <v>7</v>
      </c>
      <c r="G10" s="210"/>
      <c r="H10" s="210"/>
      <c r="I10" s="210"/>
      <c r="J10" s="210"/>
      <c r="K10" s="210" t="s">
        <v>8</v>
      </c>
    </row>
    <row r="11" spans="1:26" ht="45" x14ac:dyDescent="0.25">
      <c r="A11" s="210"/>
      <c r="B11" s="210"/>
      <c r="C11" s="210"/>
      <c r="D11" s="210"/>
      <c r="E11" s="210"/>
      <c r="F11" s="141" t="s">
        <v>9</v>
      </c>
      <c r="G11" s="141" t="s">
        <v>10</v>
      </c>
      <c r="H11" s="141" t="s">
        <v>11</v>
      </c>
      <c r="I11" s="141" t="s">
        <v>12</v>
      </c>
      <c r="J11" s="141" t="s">
        <v>13</v>
      </c>
      <c r="K11" s="210"/>
    </row>
    <row r="12" spans="1:26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26" ht="23.25" customHeight="1" x14ac:dyDescent="0.35">
      <c r="A13" s="212" t="s">
        <v>14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15.75" x14ac:dyDescent="0.25">
      <c r="A14" s="211" t="s">
        <v>15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1:26" ht="32.25" customHeight="1" thickBot="1" x14ac:dyDescent="0.25">
      <c r="A15" s="169" t="s">
        <v>271</v>
      </c>
      <c r="B15" s="157"/>
      <c r="C15" s="177"/>
      <c r="D15" s="177"/>
      <c r="E15" s="177"/>
      <c r="F15" s="177"/>
      <c r="G15" s="177"/>
      <c r="H15" s="177"/>
      <c r="I15" s="177"/>
      <c r="J15" s="177"/>
      <c r="K15" s="177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spans="1:26" ht="15" x14ac:dyDescent="0.25">
      <c r="A16" s="190" t="s">
        <v>16</v>
      </c>
      <c r="B16" s="194" t="s">
        <v>17</v>
      </c>
      <c r="C16" s="196">
        <v>2015</v>
      </c>
      <c r="D16" s="199" t="s">
        <v>147</v>
      </c>
      <c r="E16" s="133">
        <v>2015</v>
      </c>
      <c r="F16" s="7">
        <f>SUM(G16:J16)</f>
        <v>123364</v>
      </c>
      <c r="G16" s="7"/>
      <c r="H16" s="7">
        <f>84472.3+21385+13129.2</f>
        <v>118986.5</v>
      </c>
      <c r="I16" s="7">
        <f>4727.6-3108.6+2758.5</f>
        <v>4377.5</v>
      </c>
      <c r="J16" s="7"/>
      <c r="K16" s="151" t="s">
        <v>141</v>
      </c>
    </row>
    <row r="17" spans="1:26" ht="15" x14ac:dyDescent="0.25">
      <c r="A17" s="190"/>
      <c r="B17" s="195"/>
      <c r="C17" s="197"/>
      <c r="D17" s="200"/>
      <c r="E17" s="133">
        <v>2016</v>
      </c>
      <c r="F17" s="7"/>
      <c r="G17" s="7"/>
      <c r="H17" s="7"/>
      <c r="I17" s="7"/>
      <c r="J17" s="7"/>
      <c r="K17" s="154"/>
    </row>
    <row r="18" spans="1:26" ht="20.25" customHeight="1" x14ac:dyDescent="0.25">
      <c r="A18" s="190"/>
      <c r="B18" s="195"/>
      <c r="C18" s="197"/>
      <c r="D18" s="200"/>
      <c r="E18" s="133">
        <v>2017</v>
      </c>
      <c r="F18" s="7"/>
      <c r="G18" s="7"/>
      <c r="H18" s="7"/>
      <c r="I18" s="7"/>
      <c r="J18" s="7"/>
      <c r="K18" s="154"/>
    </row>
    <row r="19" spans="1:26" ht="18.75" customHeight="1" x14ac:dyDescent="0.25">
      <c r="A19" s="190"/>
      <c r="B19" s="195"/>
      <c r="C19" s="197"/>
      <c r="D19" s="200"/>
      <c r="E19" s="133">
        <v>2018</v>
      </c>
      <c r="F19" s="7"/>
      <c r="G19" s="7"/>
      <c r="H19" s="7"/>
      <c r="I19" s="7"/>
      <c r="J19" s="7"/>
      <c r="K19" s="154"/>
    </row>
    <row r="20" spans="1:26" ht="15" customHeight="1" x14ac:dyDescent="0.25">
      <c r="A20" s="190"/>
      <c r="B20" s="195"/>
      <c r="C20" s="197"/>
      <c r="D20" s="200"/>
      <c r="E20" s="133">
        <v>2019</v>
      </c>
      <c r="F20" s="7"/>
      <c r="G20" s="7"/>
      <c r="H20" s="7"/>
      <c r="I20" s="7"/>
      <c r="J20" s="7"/>
      <c r="K20" s="154"/>
    </row>
    <row r="21" spans="1:26" ht="17.25" customHeight="1" x14ac:dyDescent="0.25">
      <c r="A21" s="190"/>
      <c r="B21" s="195"/>
      <c r="C21" s="197"/>
      <c r="D21" s="200"/>
      <c r="E21" s="133">
        <v>2020</v>
      </c>
      <c r="F21" s="7"/>
      <c r="G21" s="7"/>
      <c r="H21" s="7"/>
      <c r="I21" s="7"/>
      <c r="J21" s="7"/>
      <c r="K21" s="154"/>
    </row>
    <row r="22" spans="1:26" ht="12.75" customHeight="1" x14ac:dyDescent="0.2">
      <c r="A22" s="190"/>
      <c r="B22" s="215"/>
      <c r="C22" s="197"/>
      <c r="D22" s="201"/>
      <c r="E22" s="24" t="s">
        <v>18</v>
      </c>
      <c r="F22" s="8">
        <f>SUM(F16:F21)</f>
        <v>123364</v>
      </c>
      <c r="G22" s="8">
        <f>SUM(G16:G21)</f>
        <v>0</v>
      </c>
      <c r="H22" s="8">
        <f>SUM(H16:H21)</f>
        <v>118986.5</v>
      </c>
      <c r="I22" s="8">
        <f>SUM(I16:I21)</f>
        <v>4377.5</v>
      </c>
      <c r="J22" s="8"/>
      <c r="K22" s="155"/>
    </row>
    <row r="23" spans="1:26" ht="15" x14ac:dyDescent="0.25">
      <c r="A23" s="190" t="s">
        <v>19</v>
      </c>
      <c r="B23" s="194" t="s">
        <v>159</v>
      </c>
      <c r="C23" s="148">
        <v>2015</v>
      </c>
      <c r="D23" s="199" t="s">
        <v>147</v>
      </c>
      <c r="E23" s="133">
        <v>2015</v>
      </c>
      <c r="F23" s="7">
        <f>SUM(G23:I23)</f>
        <v>5858.9</v>
      </c>
      <c r="G23" s="7"/>
      <c r="H23" s="7">
        <f>104685.7-104685.7</f>
        <v>0</v>
      </c>
      <c r="I23" s="7">
        <v>5858.9</v>
      </c>
      <c r="J23" s="7"/>
      <c r="K23" s="151" t="s">
        <v>142</v>
      </c>
    </row>
    <row r="24" spans="1:26" ht="15" x14ac:dyDescent="0.25">
      <c r="A24" s="190"/>
      <c r="B24" s="195"/>
      <c r="C24" s="149"/>
      <c r="D24" s="200"/>
      <c r="E24" s="133">
        <v>2016</v>
      </c>
      <c r="F24" s="7"/>
      <c r="G24" s="7"/>
      <c r="H24" s="7"/>
      <c r="I24" s="7"/>
      <c r="J24" s="7"/>
      <c r="K24" s="154"/>
    </row>
    <row r="25" spans="1:26" ht="15" x14ac:dyDescent="0.25">
      <c r="A25" s="190"/>
      <c r="B25" s="195"/>
      <c r="C25" s="149"/>
      <c r="D25" s="200"/>
      <c r="E25" s="133">
        <v>2017</v>
      </c>
      <c r="F25" s="7"/>
      <c r="G25" s="7"/>
      <c r="H25" s="7"/>
      <c r="I25" s="7"/>
      <c r="J25" s="7"/>
      <c r="K25" s="154"/>
    </row>
    <row r="26" spans="1:26" ht="15" x14ac:dyDescent="0.25">
      <c r="A26" s="190"/>
      <c r="B26" s="195"/>
      <c r="C26" s="149"/>
      <c r="D26" s="200"/>
      <c r="E26" s="133">
        <v>2018</v>
      </c>
      <c r="F26" s="7"/>
      <c r="G26" s="7"/>
      <c r="H26" s="7"/>
      <c r="I26" s="7"/>
      <c r="J26" s="7"/>
      <c r="K26" s="154"/>
    </row>
    <row r="27" spans="1:26" ht="15" x14ac:dyDescent="0.25">
      <c r="A27" s="190"/>
      <c r="B27" s="195"/>
      <c r="C27" s="149"/>
      <c r="D27" s="200"/>
      <c r="E27" s="133">
        <v>2019</v>
      </c>
      <c r="F27" s="7"/>
      <c r="G27" s="7"/>
      <c r="H27" s="7"/>
      <c r="I27" s="7"/>
      <c r="J27" s="7"/>
      <c r="K27" s="154"/>
    </row>
    <row r="28" spans="1:26" ht="15" x14ac:dyDescent="0.25">
      <c r="A28" s="190"/>
      <c r="B28" s="195"/>
      <c r="C28" s="149"/>
      <c r="D28" s="200"/>
      <c r="E28" s="133">
        <v>2020</v>
      </c>
      <c r="F28" s="7"/>
      <c r="G28" s="7"/>
      <c r="H28" s="7"/>
      <c r="I28" s="7"/>
      <c r="J28" s="7"/>
      <c r="K28" s="154"/>
    </row>
    <row r="29" spans="1:26" ht="15" x14ac:dyDescent="0.25">
      <c r="A29" s="203"/>
      <c r="B29" s="215"/>
      <c r="C29" s="150"/>
      <c r="D29" s="201"/>
      <c r="E29" s="33" t="s">
        <v>18</v>
      </c>
      <c r="F29" s="9">
        <f>SUM(F23:F28)</f>
        <v>5858.9</v>
      </c>
      <c r="G29" s="10">
        <f>SUM(G23:G28)</f>
        <v>0</v>
      </c>
      <c r="H29" s="10">
        <f>SUM(H23:H28)</f>
        <v>0</v>
      </c>
      <c r="I29" s="10">
        <f>SUM(I23:I28)</f>
        <v>5858.9</v>
      </c>
      <c r="J29" s="10"/>
      <c r="K29" s="155"/>
    </row>
    <row r="30" spans="1:26" ht="14.25" x14ac:dyDescent="0.2">
      <c r="A30" s="219" t="s">
        <v>20</v>
      </c>
      <c r="B30" s="220"/>
      <c r="C30" s="220"/>
      <c r="D30" s="220"/>
      <c r="E30" s="128"/>
      <c r="F30" s="11">
        <f>F22+F29</f>
        <v>129222.9</v>
      </c>
      <c r="G30" s="11">
        <f>G22+G29</f>
        <v>0</v>
      </c>
      <c r="H30" s="11">
        <f>H22+H29</f>
        <v>118986.5</v>
      </c>
      <c r="I30" s="11">
        <f>I22+I29</f>
        <v>10236.4</v>
      </c>
      <c r="J30" s="11">
        <f>J22+J29</f>
        <v>0</v>
      </c>
      <c r="K30" s="128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</row>
    <row r="31" spans="1:26" ht="14.25" x14ac:dyDescent="0.2">
      <c r="A31" s="169" t="s">
        <v>272</v>
      </c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spans="1:26" x14ac:dyDescent="0.2">
      <c r="A32" s="161" t="s">
        <v>21</v>
      </c>
      <c r="B32" s="192" t="s">
        <v>148</v>
      </c>
      <c r="C32" s="181" t="s">
        <v>158</v>
      </c>
      <c r="D32" s="151" t="s">
        <v>257</v>
      </c>
      <c r="E32" s="139">
        <v>2015</v>
      </c>
      <c r="F32" s="1"/>
      <c r="G32" s="1"/>
      <c r="H32" s="1"/>
      <c r="I32" s="1"/>
      <c r="J32" s="1"/>
      <c r="K32" s="221" t="s">
        <v>140</v>
      </c>
    </row>
    <row r="33" spans="1:33" x14ac:dyDescent="0.2">
      <c r="A33" s="162"/>
      <c r="B33" s="217"/>
      <c r="C33" s="152"/>
      <c r="D33" s="154"/>
      <c r="E33" s="133">
        <v>2016</v>
      </c>
      <c r="F33" s="2"/>
      <c r="G33" s="2"/>
      <c r="H33" s="2"/>
      <c r="I33" s="2"/>
      <c r="J33" s="2"/>
      <c r="K33" s="221"/>
    </row>
    <row r="34" spans="1:33" x14ac:dyDescent="0.2">
      <c r="A34" s="162"/>
      <c r="B34" s="217"/>
      <c r="C34" s="152"/>
      <c r="D34" s="154"/>
      <c r="E34" s="133">
        <v>2017</v>
      </c>
      <c r="F34" s="2"/>
      <c r="G34" s="2"/>
      <c r="H34" s="2"/>
      <c r="I34" s="2"/>
      <c r="J34" s="2"/>
      <c r="K34" s="221"/>
    </row>
    <row r="35" spans="1:33" x14ac:dyDescent="0.2">
      <c r="A35" s="162"/>
      <c r="B35" s="217"/>
      <c r="C35" s="152"/>
      <c r="D35" s="154"/>
      <c r="E35" s="133">
        <v>2018</v>
      </c>
      <c r="F35" s="2"/>
      <c r="G35" s="2"/>
      <c r="H35" s="2"/>
      <c r="I35" s="2"/>
      <c r="J35" s="2"/>
      <c r="K35" s="221"/>
    </row>
    <row r="36" spans="1:33" x14ac:dyDescent="0.2">
      <c r="A36" s="162"/>
      <c r="B36" s="217"/>
      <c r="C36" s="152"/>
      <c r="D36" s="154"/>
      <c r="E36" s="133">
        <v>2019</v>
      </c>
      <c r="F36" s="2"/>
      <c r="G36" s="2"/>
      <c r="H36" s="2"/>
      <c r="I36" s="2"/>
      <c r="J36" s="2"/>
      <c r="K36" s="221"/>
    </row>
    <row r="37" spans="1:33" x14ac:dyDescent="0.2">
      <c r="A37" s="162"/>
      <c r="B37" s="217"/>
      <c r="C37" s="152"/>
      <c r="D37" s="154"/>
      <c r="E37" s="133">
        <v>2020</v>
      </c>
      <c r="F37" s="2"/>
      <c r="G37" s="2"/>
      <c r="H37" s="2"/>
      <c r="I37" s="2"/>
      <c r="J37" s="2"/>
      <c r="K37" s="221"/>
    </row>
    <row r="38" spans="1:33" ht="68.25" customHeight="1" x14ac:dyDescent="0.2">
      <c r="A38" s="162"/>
      <c r="B38" s="218"/>
      <c r="C38" s="153"/>
      <c r="D38" s="155"/>
      <c r="E38" s="24" t="s">
        <v>18</v>
      </c>
      <c r="F38" s="2"/>
      <c r="G38" s="2"/>
      <c r="H38" s="2"/>
      <c r="I38" s="2"/>
      <c r="J38" s="2"/>
      <c r="K38" s="221"/>
    </row>
    <row r="39" spans="1:33" ht="12.75" customHeight="1" x14ac:dyDescent="0.2">
      <c r="A39" s="226" t="s">
        <v>22</v>
      </c>
      <c r="B39" s="194" t="s">
        <v>149</v>
      </c>
      <c r="C39" s="148" t="s">
        <v>158</v>
      </c>
      <c r="D39" s="172" t="s">
        <v>257</v>
      </c>
      <c r="E39" s="133">
        <v>2015</v>
      </c>
      <c r="F39" s="14">
        <f>H39+I39</f>
        <v>505</v>
      </c>
      <c r="G39" s="14"/>
      <c r="H39" s="14">
        <v>500</v>
      </c>
      <c r="I39" s="14">
        <v>5</v>
      </c>
      <c r="J39" s="14"/>
      <c r="K39" s="221"/>
    </row>
    <row r="40" spans="1:33" x14ac:dyDescent="0.2">
      <c r="A40" s="226"/>
      <c r="B40" s="195"/>
      <c r="C40" s="149"/>
      <c r="D40" s="172"/>
      <c r="E40" s="133">
        <v>2016</v>
      </c>
      <c r="F40" s="14">
        <f>SUM(G40:J40)</f>
        <v>0</v>
      </c>
      <c r="G40" s="14"/>
      <c r="H40" s="14">
        <v>0</v>
      </c>
      <c r="I40" s="14">
        <v>0</v>
      </c>
      <c r="J40" s="14"/>
      <c r="K40" s="221"/>
    </row>
    <row r="41" spans="1:33" x14ac:dyDescent="0.2">
      <c r="A41" s="226"/>
      <c r="B41" s="195"/>
      <c r="C41" s="149"/>
      <c r="D41" s="172"/>
      <c r="E41" s="133">
        <v>2017</v>
      </c>
      <c r="F41" s="14">
        <f>SUM(G41:J41)</f>
        <v>0</v>
      </c>
      <c r="G41" s="14"/>
      <c r="H41" s="14"/>
      <c r="I41" s="14"/>
      <c r="J41" s="14"/>
      <c r="K41" s="221"/>
    </row>
    <row r="42" spans="1:33" ht="16.5" customHeight="1" x14ac:dyDescent="0.2">
      <c r="A42" s="226"/>
      <c r="B42" s="195"/>
      <c r="C42" s="149"/>
      <c r="D42" s="172"/>
      <c r="E42" s="133">
        <v>2018</v>
      </c>
      <c r="F42" s="14">
        <f>SUM(G42:J42)</f>
        <v>21227.4</v>
      </c>
      <c r="G42" s="14"/>
      <c r="H42" s="14">
        <v>20165.400000000001</v>
      </c>
      <c r="I42" s="14">
        <v>1062</v>
      </c>
      <c r="J42" s="14"/>
      <c r="K42" s="221"/>
    </row>
    <row r="43" spans="1:33" x14ac:dyDescent="0.2">
      <c r="A43" s="226"/>
      <c r="B43" s="195"/>
      <c r="C43" s="149"/>
      <c r="D43" s="172"/>
      <c r="E43" s="133">
        <v>2019</v>
      </c>
      <c r="F43" s="14">
        <f>SUM(G43:J43)</f>
        <v>0</v>
      </c>
      <c r="G43" s="14"/>
      <c r="H43" s="14"/>
      <c r="I43" s="14"/>
      <c r="J43" s="14"/>
      <c r="K43" s="221"/>
    </row>
    <row r="44" spans="1:33" ht="15" customHeight="1" x14ac:dyDescent="0.2">
      <c r="A44" s="226"/>
      <c r="B44" s="195"/>
      <c r="C44" s="149"/>
      <c r="D44" s="172"/>
      <c r="E44" s="133">
        <v>2020</v>
      </c>
      <c r="F44" s="14">
        <f>SUM(G44:J44)</f>
        <v>12632</v>
      </c>
      <c r="G44" s="14"/>
      <c r="H44" s="14">
        <v>12000</v>
      </c>
      <c r="I44" s="14">
        <v>632</v>
      </c>
      <c r="J44" s="14"/>
      <c r="K44" s="221"/>
    </row>
    <row r="45" spans="1:33" ht="57" customHeight="1" x14ac:dyDescent="0.2">
      <c r="A45" s="226"/>
      <c r="B45" s="195"/>
      <c r="C45" s="149"/>
      <c r="D45" s="172"/>
      <c r="E45" s="33" t="s">
        <v>18</v>
      </c>
      <c r="F45" s="52">
        <f>SUM(F39:F44)</f>
        <v>34364.400000000001</v>
      </c>
      <c r="G45" s="52">
        <f>SUM(G39:G44)</f>
        <v>0</v>
      </c>
      <c r="H45" s="52">
        <f>SUM(H39:H44)</f>
        <v>32665.4</v>
      </c>
      <c r="I45" s="52">
        <f>SUM(I39:I44)</f>
        <v>1699</v>
      </c>
      <c r="J45" s="28"/>
      <c r="K45" s="221"/>
    </row>
    <row r="46" spans="1:33" x14ac:dyDescent="0.2">
      <c r="A46" s="204" t="s">
        <v>288</v>
      </c>
      <c r="B46" s="191" t="s">
        <v>289</v>
      </c>
      <c r="C46" s="167" t="s">
        <v>286</v>
      </c>
      <c r="D46" s="151" t="s">
        <v>257</v>
      </c>
      <c r="E46" s="133">
        <v>2016</v>
      </c>
      <c r="F46" s="14">
        <f t="shared" ref="F46:F47" si="0">SUM(G46:I46)</f>
        <v>7450.4</v>
      </c>
      <c r="G46" s="14"/>
      <c r="H46" s="14">
        <v>7375.9</v>
      </c>
      <c r="I46" s="14">
        <v>74.5</v>
      </c>
      <c r="J46" s="14"/>
      <c r="K46" s="221"/>
    </row>
    <row r="47" spans="1:33" x14ac:dyDescent="0.2">
      <c r="A47" s="205"/>
      <c r="B47" s="192"/>
      <c r="C47" s="181"/>
      <c r="D47" s="154"/>
      <c r="E47" s="133">
        <v>2017</v>
      </c>
      <c r="F47" s="14">
        <f t="shared" si="0"/>
        <v>0</v>
      </c>
      <c r="G47" s="14"/>
      <c r="H47" s="14">
        <v>0</v>
      </c>
      <c r="I47" s="14">
        <v>0</v>
      </c>
      <c r="J47" s="14"/>
      <c r="K47" s="221"/>
    </row>
    <row r="48" spans="1:33" ht="85.5" customHeight="1" x14ac:dyDescent="0.2">
      <c r="A48" s="206"/>
      <c r="B48" s="193"/>
      <c r="C48" s="182"/>
      <c r="D48" s="155"/>
      <c r="E48" s="33" t="s">
        <v>18</v>
      </c>
      <c r="F48" s="52">
        <f>SUM(F46:F47)</f>
        <v>7450.4</v>
      </c>
      <c r="G48" s="52">
        <f>SUM(G46:G47)</f>
        <v>0</v>
      </c>
      <c r="H48" s="52">
        <f>SUM(H46:H47)</f>
        <v>7375.9</v>
      </c>
      <c r="I48" s="52">
        <f>SUM(I46:I47)</f>
        <v>74.5</v>
      </c>
      <c r="J48" s="28"/>
      <c r="K48" s="221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</row>
    <row r="49" spans="1:26" x14ac:dyDescent="0.2">
      <c r="A49" s="222" t="s">
        <v>23</v>
      </c>
      <c r="B49" s="223"/>
      <c r="C49" s="223"/>
      <c r="D49" s="224"/>
      <c r="E49" s="33"/>
      <c r="F49" s="52">
        <f>F48+F45</f>
        <v>41814.800000000003</v>
      </c>
      <c r="G49" s="52">
        <f>G38+G45</f>
        <v>0</v>
      </c>
      <c r="H49" s="52">
        <f>H48+H45</f>
        <v>40041.300000000003</v>
      </c>
      <c r="I49" s="52">
        <f>I48+I45</f>
        <v>1773.5</v>
      </c>
      <c r="J49" s="28"/>
      <c r="K49" s="221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4.25" x14ac:dyDescent="0.2">
      <c r="A50" s="225" t="s">
        <v>24</v>
      </c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5"/>
    </row>
    <row r="51" spans="1:26" ht="13.5" customHeight="1" x14ac:dyDescent="0.2">
      <c r="A51" s="161" t="s">
        <v>25</v>
      </c>
      <c r="B51" s="193" t="s">
        <v>26</v>
      </c>
      <c r="C51" s="182" t="s">
        <v>158</v>
      </c>
      <c r="D51" s="151" t="s">
        <v>257</v>
      </c>
      <c r="E51" s="139">
        <v>2015</v>
      </c>
      <c r="F51" s="12">
        <f>SUM(G51:I51)</f>
        <v>4863.4000000000005</v>
      </c>
      <c r="G51" s="12"/>
      <c r="H51" s="12">
        <v>4814.8</v>
      </c>
      <c r="I51" s="12">
        <v>48.6</v>
      </c>
      <c r="J51" s="12"/>
      <c r="K51" s="151" t="s">
        <v>172</v>
      </c>
    </row>
    <row r="52" spans="1:26" x14ac:dyDescent="0.2">
      <c r="A52" s="162"/>
      <c r="B52" s="195"/>
      <c r="C52" s="149"/>
      <c r="D52" s="154"/>
      <c r="E52" s="133">
        <v>2016</v>
      </c>
      <c r="F52" s="14"/>
      <c r="G52" s="14"/>
      <c r="H52" s="14"/>
      <c r="I52" s="14"/>
      <c r="J52" s="14"/>
      <c r="K52" s="154"/>
    </row>
    <row r="53" spans="1:26" x14ac:dyDescent="0.2">
      <c r="A53" s="162"/>
      <c r="B53" s="195"/>
      <c r="C53" s="149"/>
      <c r="D53" s="154"/>
      <c r="E53" s="133">
        <v>2017</v>
      </c>
      <c r="F53" s="14"/>
      <c r="G53" s="14"/>
      <c r="H53" s="14"/>
      <c r="I53" s="14"/>
      <c r="J53" s="14"/>
      <c r="K53" s="154"/>
    </row>
    <row r="54" spans="1:26" x14ac:dyDescent="0.2">
      <c r="A54" s="162"/>
      <c r="B54" s="195"/>
      <c r="C54" s="149"/>
      <c r="D54" s="154"/>
      <c r="E54" s="133">
        <v>2018</v>
      </c>
      <c r="F54" s="14"/>
      <c r="G54" s="14"/>
      <c r="H54" s="14"/>
      <c r="I54" s="14"/>
      <c r="J54" s="14"/>
      <c r="K54" s="154"/>
    </row>
    <row r="55" spans="1:26" x14ac:dyDescent="0.2">
      <c r="A55" s="162"/>
      <c r="B55" s="195"/>
      <c r="C55" s="149"/>
      <c r="D55" s="154"/>
      <c r="E55" s="133">
        <v>2019</v>
      </c>
      <c r="F55" s="14"/>
      <c r="G55" s="14"/>
      <c r="H55" s="14"/>
      <c r="I55" s="14"/>
      <c r="J55" s="14"/>
      <c r="K55" s="154"/>
    </row>
    <row r="56" spans="1:26" x14ac:dyDescent="0.2">
      <c r="A56" s="162"/>
      <c r="B56" s="195"/>
      <c r="C56" s="149"/>
      <c r="D56" s="154"/>
      <c r="E56" s="133">
        <v>2020</v>
      </c>
      <c r="F56" s="14"/>
      <c r="G56" s="14"/>
      <c r="H56" s="14"/>
      <c r="I56" s="14"/>
      <c r="J56" s="14"/>
      <c r="K56" s="154"/>
    </row>
    <row r="57" spans="1:26" ht="36.75" customHeight="1" x14ac:dyDescent="0.2">
      <c r="A57" s="162"/>
      <c r="B57" s="215"/>
      <c r="C57" s="150"/>
      <c r="D57" s="155"/>
      <c r="E57" s="24" t="s">
        <v>18</v>
      </c>
      <c r="F57" s="13">
        <f>SUM(F51:F56)</f>
        <v>4863.4000000000005</v>
      </c>
      <c r="G57" s="13"/>
      <c r="H57" s="13">
        <f>SUM(H51:H56)</f>
        <v>4814.8</v>
      </c>
      <c r="I57" s="13">
        <f>SUM(I51:I56)</f>
        <v>48.6</v>
      </c>
      <c r="J57" s="14"/>
      <c r="K57" s="154"/>
    </row>
    <row r="58" spans="1:26" ht="12.75" customHeight="1" x14ac:dyDescent="0.2">
      <c r="A58" s="162" t="s">
        <v>27</v>
      </c>
      <c r="B58" s="194" t="s">
        <v>28</v>
      </c>
      <c r="C58" s="148">
        <v>2015</v>
      </c>
      <c r="D58" s="151" t="s">
        <v>257</v>
      </c>
      <c r="E58" s="133">
        <v>2015</v>
      </c>
      <c r="F58" s="14">
        <f>SUM(G58:I58)</f>
        <v>1538.4</v>
      </c>
      <c r="G58" s="14"/>
      <c r="H58" s="14"/>
      <c r="I58" s="14">
        <v>1538.4</v>
      </c>
      <c r="J58" s="14"/>
      <c r="K58" s="154"/>
    </row>
    <row r="59" spans="1:26" x14ac:dyDescent="0.2">
      <c r="A59" s="162"/>
      <c r="B59" s="195"/>
      <c r="C59" s="149"/>
      <c r="D59" s="154"/>
      <c r="E59" s="133">
        <v>2016</v>
      </c>
      <c r="F59" s="14"/>
      <c r="G59" s="14"/>
      <c r="H59" s="14"/>
      <c r="I59" s="14"/>
      <c r="J59" s="14"/>
      <c r="K59" s="154"/>
    </row>
    <row r="60" spans="1:26" x14ac:dyDescent="0.2">
      <c r="A60" s="162"/>
      <c r="B60" s="195"/>
      <c r="C60" s="149"/>
      <c r="D60" s="154"/>
      <c r="E60" s="133">
        <v>2017</v>
      </c>
      <c r="F60" s="14"/>
      <c r="G60" s="14"/>
      <c r="H60" s="14"/>
      <c r="I60" s="14"/>
      <c r="J60" s="14"/>
      <c r="K60" s="154"/>
    </row>
    <row r="61" spans="1:26" x14ac:dyDescent="0.2">
      <c r="A61" s="162"/>
      <c r="B61" s="195"/>
      <c r="C61" s="149"/>
      <c r="D61" s="154"/>
      <c r="E61" s="133">
        <v>2018</v>
      </c>
      <c r="F61" s="14"/>
      <c r="G61" s="14"/>
      <c r="H61" s="14"/>
      <c r="I61" s="14"/>
      <c r="J61" s="14"/>
      <c r="K61" s="154"/>
    </row>
    <row r="62" spans="1:26" x14ac:dyDescent="0.2">
      <c r="A62" s="162"/>
      <c r="B62" s="195"/>
      <c r="C62" s="149"/>
      <c r="D62" s="154"/>
      <c r="E62" s="133">
        <v>2019</v>
      </c>
      <c r="F62" s="14"/>
      <c r="G62" s="14"/>
      <c r="H62" s="14"/>
      <c r="I62" s="14"/>
      <c r="J62" s="14"/>
      <c r="K62" s="154"/>
    </row>
    <row r="63" spans="1:26" x14ac:dyDescent="0.2">
      <c r="A63" s="162"/>
      <c r="B63" s="195"/>
      <c r="C63" s="149"/>
      <c r="D63" s="154"/>
      <c r="E63" s="133">
        <v>2020</v>
      </c>
      <c r="F63" s="14"/>
      <c r="G63" s="14"/>
      <c r="H63" s="14"/>
      <c r="I63" s="14"/>
      <c r="J63" s="14"/>
      <c r="K63" s="154"/>
    </row>
    <row r="64" spans="1:26" ht="13.5" customHeight="1" x14ac:dyDescent="0.2">
      <c r="A64" s="162"/>
      <c r="B64" s="215"/>
      <c r="C64" s="150"/>
      <c r="D64" s="155"/>
      <c r="E64" s="24" t="s">
        <v>18</v>
      </c>
      <c r="F64" s="13">
        <f>SUM(F58:F63)</f>
        <v>1538.4</v>
      </c>
      <c r="G64" s="13"/>
      <c r="H64" s="13"/>
      <c r="I64" s="13">
        <f>SUM(I58:I63)</f>
        <v>1538.4</v>
      </c>
      <c r="J64" s="14"/>
      <c r="K64" s="155"/>
    </row>
    <row r="65" spans="1:36" x14ac:dyDescent="0.2">
      <c r="A65" s="162" t="s">
        <v>150</v>
      </c>
      <c r="B65" s="194" t="s">
        <v>29</v>
      </c>
      <c r="C65" s="167" t="s">
        <v>158</v>
      </c>
      <c r="D65" s="151" t="s">
        <v>257</v>
      </c>
      <c r="E65" s="133">
        <v>2015</v>
      </c>
      <c r="F65" s="14">
        <f t="shared" ref="F65:F70" si="1">SUM(G65:J65)</f>
        <v>21031.8</v>
      </c>
      <c r="G65" s="14"/>
      <c r="H65" s="14"/>
      <c r="I65" s="14">
        <f>22881.8-1000-850</f>
        <v>21031.8</v>
      </c>
      <c r="J65" s="14"/>
      <c r="K65" s="151" t="s">
        <v>174</v>
      </c>
    </row>
    <row r="66" spans="1:36" x14ac:dyDescent="0.2">
      <c r="A66" s="162"/>
      <c r="B66" s="195"/>
      <c r="C66" s="152"/>
      <c r="D66" s="154"/>
      <c r="E66" s="133">
        <v>2016</v>
      </c>
      <c r="F66" s="14">
        <f t="shared" si="1"/>
        <v>21907.9</v>
      </c>
      <c r="G66" s="14"/>
      <c r="H66" s="14"/>
      <c r="I66" s="14">
        <f>22597.2-180.3-509</f>
        <v>21907.9</v>
      </c>
      <c r="J66" s="14"/>
      <c r="K66" s="154"/>
    </row>
    <row r="67" spans="1:36" x14ac:dyDescent="0.2">
      <c r="A67" s="162"/>
      <c r="B67" s="195"/>
      <c r="C67" s="152"/>
      <c r="D67" s="154"/>
      <c r="E67" s="133">
        <v>2017</v>
      </c>
      <c r="F67" s="14">
        <f t="shared" si="1"/>
        <v>22881.8</v>
      </c>
      <c r="G67" s="14"/>
      <c r="H67" s="14"/>
      <c r="I67" s="14">
        <v>22881.8</v>
      </c>
      <c r="J67" s="14"/>
      <c r="K67" s="154"/>
    </row>
    <row r="68" spans="1:36" x14ac:dyDescent="0.2">
      <c r="A68" s="162"/>
      <c r="B68" s="195"/>
      <c r="C68" s="152"/>
      <c r="D68" s="154"/>
      <c r="E68" s="133">
        <v>2018</v>
      </c>
      <c r="F68" s="14">
        <f t="shared" si="1"/>
        <v>22701</v>
      </c>
      <c r="G68" s="14"/>
      <c r="H68" s="14"/>
      <c r="I68" s="14">
        <v>22701</v>
      </c>
      <c r="J68" s="14"/>
      <c r="K68" s="154"/>
    </row>
    <row r="69" spans="1:36" x14ac:dyDescent="0.2">
      <c r="A69" s="162"/>
      <c r="B69" s="195"/>
      <c r="C69" s="152"/>
      <c r="D69" s="154"/>
      <c r="E69" s="133">
        <v>2019</v>
      </c>
      <c r="F69" s="14">
        <f t="shared" si="1"/>
        <v>22360.5</v>
      </c>
      <c r="G69" s="14"/>
      <c r="H69" s="14"/>
      <c r="I69" s="14">
        <v>22360.5</v>
      </c>
      <c r="J69" s="14"/>
      <c r="K69" s="154"/>
    </row>
    <row r="70" spans="1:36" x14ac:dyDescent="0.2">
      <c r="A70" s="162"/>
      <c r="B70" s="195"/>
      <c r="C70" s="152"/>
      <c r="D70" s="154"/>
      <c r="E70" s="133">
        <v>2020</v>
      </c>
      <c r="F70" s="14">
        <f t="shared" si="1"/>
        <v>21387.8</v>
      </c>
      <c r="G70" s="14"/>
      <c r="H70" s="14"/>
      <c r="I70" s="14">
        <v>21387.8</v>
      </c>
      <c r="J70" s="14"/>
      <c r="K70" s="154"/>
    </row>
    <row r="71" spans="1:36" ht="27" customHeight="1" x14ac:dyDescent="0.2">
      <c r="A71" s="162"/>
      <c r="B71" s="195"/>
      <c r="C71" s="153"/>
      <c r="D71" s="155"/>
      <c r="E71" s="24" t="s">
        <v>18</v>
      </c>
      <c r="F71" s="13">
        <f>SUM(F65:F70)</f>
        <v>132270.79999999999</v>
      </c>
      <c r="G71" s="13"/>
      <c r="H71" s="13"/>
      <c r="I71" s="13">
        <f>SUM(I65:I70)</f>
        <v>132270.79999999999</v>
      </c>
      <c r="J71" s="13"/>
      <c r="K71" s="155"/>
    </row>
    <row r="72" spans="1:36" ht="14.25" x14ac:dyDescent="0.2">
      <c r="A72" s="227" t="s">
        <v>30</v>
      </c>
      <c r="B72" s="227"/>
      <c r="C72" s="227"/>
      <c r="D72" s="227"/>
      <c r="E72" s="142"/>
      <c r="F72" s="15">
        <f>F57+F64+F71</f>
        <v>138672.59999999998</v>
      </c>
      <c r="G72" s="15"/>
      <c r="H72" s="15">
        <f>H57</f>
        <v>4814.8</v>
      </c>
      <c r="I72" s="15">
        <f>I57+I64+I71</f>
        <v>133857.79999999999</v>
      </c>
      <c r="J72" s="37"/>
      <c r="K72" s="142"/>
    </row>
    <row r="73" spans="1:36" ht="15" thickBot="1" x14ac:dyDescent="0.25">
      <c r="A73" s="169" t="s">
        <v>31</v>
      </c>
      <c r="B73" s="177"/>
      <c r="C73" s="177"/>
      <c r="D73" s="177"/>
      <c r="E73" s="177"/>
      <c r="F73" s="177"/>
      <c r="G73" s="177"/>
      <c r="H73" s="177"/>
      <c r="I73" s="177"/>
      <c r="J73" s="177"/>
      <c r="K73" s="177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9"/>
    </row>
    <row r="74" spans="1:36" x14ac:dyDescent="0.2">
      <c r="A74" s="161" t="s">
        <v>32</v>
      </c>
      <c r="B74" s="228" t="s">
        <v>171</v>
      </c>
      <c r="C74" s="167" t="s">
        <v>158</v>
      </c>
      <c r="D74" s="151" t="s">
        <v>257</v>
      </c>
      <c r="E74" s="139">
        <v>2015</v>
      </c>
      <c r="F74" s="12">
        <f>SUM(G74:I74)</f>
        <v>2018.1000000000001</v>
      </c>
      <c r="G74" s="12"/>
      <c r="H74" s="12">
        <v>1997.9</v>
      </c>
      <c r="I74" s="12">
        <v>20.2</v>
      </c>
      <c r="J74" s="12"/>
      <c r="K74" s="151" t="s">
        <v>175</v>
      </c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</row>
    <row r="75" spans="1:36" x14ac:dyDescent="0.2">
      <c r="A75" s="162"/>
      <c r="B75" s="229"/>
      <c r="C75" s="152"/>
      <c r="D75" s="154"/>
      <c r="E75" s="133">
        <v>2016</v>
      </c>
      <c r="F75" s="14"/>
      <c r="G75" s="14"/>
      <c r="H75" s="14"/>
      <c r="I75" s="14"/>
      <c r="J75" s="14"/>
      <c r="K75" s="154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</row>
    <row r="76" spans="1:36" x14ac:dyDescent="0.2">
      <c r="A76" s="162"/>
      <c r="B76" s="229"/>
      <c r="C76" s="152"/>
      <c r="D76" s="154"/>
      <c r="E76" s="133">
        <v>2017</v>
      </c>
      <c r="F76" s="14">
        <f>SUM(G76:I76)</f>
        <v>23914.1</v>
      </c>
      <c r="G76" s="14"/>
      <c r="H76" s="14">
        <v>23675</v>
      </c>
      <c r="I76" s="14">
        <v>239.1</v>
      </c>
      <c r="J76" s="14"/>
      <c r="K76" s="154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</row>
    <row r="77" spans="1:36" x14ac:dyDescent="0.2">
      <c r="A77" s="162"/>
      <c r="B77" s="229"/>
      <c r="C77" s="152"/>
      <c r="D77" s="154"/>
      <c r="E77" s="133">
        <v>2018</v>
      </c>
      <c r="F77" s="14"/>
      <c r="G77" s="14"/>
      <c r="H77" s="14"/>
      <c r="I77" s="14"/>
      <c r="J77" s="14"/>
      <c r="K77" s="154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</row>
    <row r="78" spans="1:36" x14ac:dyDescent="0.2">
      <c r="A78" s="162"/>
      <c r="B78" s="229"/>
      <c r="C78" s="152"/>
      <c r="D78" s="154"/>
      <c r="E78" s="133">
        <v>2019</v>
      </c>
      <c r="F78" s="14"/>
      <c r="G78" s="14"/>
      <c r="H78" s="14"/>
      <c r="I78" s="14"/>
      <c r="J78" s="14"/>
      <c r="K78" s="154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</row>
    <row r="79" spans="1:36" x14ac:dyDescent="0.2">
      <c r="A79" s="162"/>
      <c r="B79" s="229"/>
      <c r="C79" s="152"/>
      <c r="D79" s="154"/>
      <c r="E79" s="133">
        <v>2020</v>
      </c>
      <c r="F79" s="14"/>
      <c r="G79" s="14"/>
      <c r="H79" s="14"/>
      <c r="I79" s="14"/>
      <c r="J79" s="14"/>
      <c r="K79" s="154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</row>
    <row r="80" spans="1:36" ht="30" customHeight="1" x14ac:dyDescent="0.2">
      <c r="A80" s="162"/>
      <c r="B80" s="230"/>
      <c r="C80" s="153"/>
      <c r="D80" s="155"/>
      <c r="E80" s="24" t="s">
        <v>18</v>
      </c>
      <c r="F80" s="13">
        <f>SUM(G80:I80)</f>
        <v>25932.2</v>
      </c>
      <c r="G80" s="13"/>
      <c r="H80" s="13">
        <f>SUM(H74:H78)</f>
        <v>25672.9</v>
      </c>
      <c r="I80" s="13">
        <f>SUM(I74:I78)</f>
        <v>259.3</v>
      </c>
      <c r="J80" s="14"/>
      <c r="K80" s="155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</row>
    <row r="81" spans="1:36" ht="15" customHeight="1" x14ac:dyDescent="0.2">
      <c r="A81" s="233" t="s">
        <v>160</v>
      </c>
      <c r="B81" s="183" t="s">
        <v>161</v>
      </c>
      <c r="C81" s="167" t="s">
        <v>256</v>
      </c>
      <c r="D81" s="151" t="s">
        <v>257</v>
      </c>
      <c r="E81" s="139">
        <v>2015</v>
      </c>
      <c r="F81" s="12"/>
      <c r="G81" s="12"/>
      <c r="H81" s="12"/>
      <c r="I81" s="12"/>
      <c r="J81" s="12"/>
      <c r="K81" s="151" t="s">
        <v>176</v>
      </c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</row>
    <row r="82" spans="1:36" ht="15" customHeight="1" x14ac:dyDescent="0.2">
      <c r="A82" s="234"/>
      <c r="B82" s="184"/>
      <c r="C82" s="181"/>
      <c r="D82" s="154"/>
      <c r="E82" s="133">
        <v>2016</v>
      </c>
      <c r="F82" s="12">
        <f>SUM(G82:J82)</f>
        <v>7379.4</v>
      </c>
      <c r="G82" s="14"/>
      <c r="H82" s="14"/>
      <c r="I82" s="14">
        <f>1500+4748.2+1131.2</f>
        <v>7379.4</v>
      </c>
      <c r="J82" s="14"/>
      <c r="K82" s="154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</row>
    <row r="83" spans="1:36" ht="12.75" customHeight="1" x14ac:dyDescent="0.2">
      <c r="A83" s="234"/>
      <c r="B83" s="184"/>
      <c r="C83" s="181"/>
      <c r="D83" s="154"/>
      <c r="E83" s="133">
        <v>2017</v>
      </c>
      <c r="F83" s="14"/>
      <c r="G83" s="14"/>
      <c r="H83" s="14"/>
      <c r="I83" s="14"/>
      <c r="J83" s="14"/>
      <c r="K83" s="154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</row>
    <row r="84" spans="1:36" ht="12" customHeight="1" x14ac:dyDescent="0.2">
      <c r="A84" s="234"/>
      <c r="B84" s="184"/>
      <c r="C84" s="181"/>
      <c r="D84" s="154"/>
      <c r="E84" s="133">
        <v>2018</v>
      </c>
      <c r="F84" s="14"/>
      <c r="G84" s="14"/>
      <c r="H84" s="14"/>
      <c r="I84" s="14"/>
      <c r="J84" s="14"/>
      <c r="K84" s="154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</row>
    <row r="85" spans="1:36" ht="14.25" customHeight="1" x14ac:dyDescent="0.2">
      <c r="A85" s="234"/>
      <c r="B85" s="184"/>
      <c r="C85" s="181"/>
      <c r="D85" s="154"/>
      <c r="E85" s="133">
        <v>2019</v>
      </c>
      <c r="F85" s="14"/>
      <c r="G85" s="14"/>
      <c r="H85" s="14"/>
      <c r="I85" s="14"/>
      <c r="J85" s="14"/>
      <c r="K85" s="154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</row>
    <row r="86" spans="1:36" ht="12" customHeight="1" x14ac:dyDescent="0.2">
      <c r="A86" s="234"/>
      <c r="B86" s="184"/>
      <c r="C86" s="181"/>
      <c r="D86" s="154"/>
      <c r="E86" s="133">
        <v>2020</v>
      </c>
      <c r="F86" s="14"/>
      <c r="G86" s="14"/>
      <c r="H86" s="14"/>
      <c r="I86" s="14"/>
      <c r="J86" s="14"/>
      <c r="K86" s="154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</row>
    <row r="87" spans="1:36" ht="15" customHeight="1" x14ac:dyDescent="0.2">
      <c r="A87" s="235"/>
      <c r="B87" s="185"/>
      <c r="C87" s="182"/>
      <c r="D87" s="155"/>
      <c r="E87" s="24" t="s">
        <v>18</v>
      </c>
      <c r="F87" s="13">
        <f>SUM(G87:I87)</f>
        <v>7379.4</v>
      </c>
      <c r="G87" s="13"/>
      <c r="H87" s="13">
        <f>SUM(H81:H85)</f>
        <v>0</v>
      </c>
      <c r="I87" s="13">
        <f>SUM(I81:I85)</f>
        <v>7379.4</v>
      </c>
      <c r="J87" s="14"/>
      <c r="K87" s="155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</row>
    <row r="88" spans="1:36" ht="14.25" x14ac:dyDescent="0.2">
      <c r="A88" s="231" t="s">
        <v>33</v>
      </c>
      <c r="B88" s="231"/>
      <c r="C88" s="231"/>
      <c r="D88" s="231"/>
      <c r="E88" s="25"/>
      <c r="F88" s="16">
        <f>SUM(G88:I88)</f>
        <v>33311.599999999999</v>
      </c>
      <c r="G88" s="16"/>
      <c r="H88" s="16">
        <f>H80</f>
        <v>25672.9</v>
      </c>
      <c r="I88" s="16">
        <f>I80+I87</f>
        <v>7638.7</v>
      </c>
      <c r="J88" s="26"/>
      <c r="K88" s="25"/>
    </row>
    <row r="89" spans="1:36" ht="15" x14ac:dyDescent="0.25">
      <c r="A89" s="219" t="s">
        <v>34</v>
      </c>
      <c r="B89" s="232"/>
      <c r="C89" s="232"/>
      <c r="D89" s="232"/>
      <c r="E89" s="232"/>
      <c r="F89" s="232"/>
      <c r="G89" s="232"/>
      <c r="H89" s="232"/>
      <c r="I89" s="232"/>
      <c r="J89" s="232"/>
      <c r="K89" s="232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35"/>
      <c r="W89" s="35"/>
      <c r="X89" s="35"/>
      <c r="Y89" s="35"/>
      <c r="Z89" s="35"/>
      <c r="AA89" s="35"/>
      <c r="AB89" s="35"/>
      <c r="AC89" s="35"/>
    </row>
    <row r="90" spans="1:36" x14ac:dyDescent="0.2">
      <c r="A90" s="162" t="s">
        <v>35</v>
      </c>
      <c r="B90" s="191" t="s">
        <v>36</v>
      </c>
      <c r="C90" s="167" t="s">
        <v>158</v>
      </c>
      <c r="D90" s="151" t="s">
        <v>257</v>
      </c>
      <c r="E90" s="133">
        <v>2015</v>
      </c>
      <c r="F90" s="14">
        <f t="shared" ref="F90:F96" si="2">SUM(G90:I90)</f>
        <v>600</v>
      </c>
      <c r="G90" s="14"/>
      <c r="H90" s="14"/>
      <c r="I90" s="14">
        <v>600</v>
      </c>
      <c r="J90" s="14"/>
      <c r="K90" s="151" t="s">
        <v>173</v>
      </c>
    </row>
    <row r="91" spans="1:36" x14ac:dyDescent="0.2">
      <c r="A91" s="162"/>
      <c r="B91" s="179"/>
      <c r="C91" s="152"/>
      <c r="D91" s="154"/>
      <c r="E91" s="133">
        <v>2016</v>
      </c>
      <c r="F91" s="14">
        <f t="shared" si="2"/>
        <v>700</v>
      </c>
      <c r="G91" s="14"/>
      <c r="H91" s="14"/>
      <c r="I91" s="14">
        <v>700</v>
      </c>
      <c r="J91" s="14"/>
      <c r="K91" s="154"/>
    </row>
    <row r="92" spans="1:36" x14ac:dyDescent="0.2">
      <c r="A92" s="162"/>
      <c r="B92" s="179"/>
      <c r="C92" s="152"/>
      <c r="D92" s="154"/>
      <c r="E92" s="133">
        <v>2017</v>
      </c>
      <c r="F92" s="14">
        <f t="shared" si="2"/>
        <v>0</v>
      </c>
      <c r="G92" s="14"/>
      <c r="H92" s="14"/>
      <c r="I92" s="14">
        <v>0</v>
      </c>
      <c r="J92" s="14"/>
      <c r="K92" s="154"/>
    </row>
    <row r="93" spans="1:36" x14ac:dyDescent="0.2">
      <c r="A93" s="162"/>
      <c r="B93" s="179"/>
      <c r="C93" s="152"/>
      <c r="D93" s="154"/>
      <c r="E93" s="133">
        <v>2018</v>
      </c>
      <c r="F93" s="14">
        <f t="shared" si="2"/>
        <v>900</v>
      </c>
      <c r="G93" s="14"/>
      <c r="H93" s="14"/>
      <c r="I93" s="14">
        <v>900</v>
      </c>
      <c r="J93" s="14"/>
      <c r="K93" s="154"/>
    </row>
    <row r="94" spans="1:36" x14ac:dyDescent="0.2">
      <c r="A94" s="162"/>
      <c r="B94" s="179"/>
      <c r="C94" s="152"/>
      <c r="D94" s="154"/>
      <c r="E94" s="133">
        <v>2019</v>
      </c>
      <c r="F94" s="14">
        <f t="shared" si="2"/>
        <v>1000</v>
      </c>
      <c r="G94" s="14"/>
      <c r="H94" s="14"/>
      <c r="I94" s="14">
        <v>1000</v>
      </c>
      <c r="J94" s="14"/>
      <c r="K94" s="154"/>
    </row>
    <row r="95" spans="1:36" x14ac:dyDescent="0.2">
      <c r="A95" s="162"/>
      <c r="B95" s="179"/>
      <c r="C95" s="152"/>
      <c r="D95" s="154"/>
      <c r="E95" s="133">
        <v>2020</v>
      </c>
      <c r="F95" s="14">
        <f t="shared" si="2"/>
        <v>1000</v>
      </c>
      <c r="G95" s="14"/>
      <c r="H95" s="14"/>
      <c r="I95" s="14">
        <v>1000</v>
      </c>
      <c r="J95" s="14"/>
      <c r="K95" s="154"/>
    </row>
    <row r="96" spans="1:36" x14ac:dyDescent="0.2">
      <c r="A96" s="162"/>
      <c r="B96" s="180"/>
      <c r="C96" s="153"/>
      <c r="D96" s="155"/>
      <c r="E96" s="24" t="s">
        <v>18</v>
      </c>
      <c r="F96" s="13">
        <f t="shared" si="2"/>
        <v>4200</v>
      </c>
      <c r="G96" s="13"/>
      <c r="H96" s="13"/>
      <c r="I96" s="13">
        <f>SUM(I90:I95)</f>
        <v>4200</v>
      </c>
      <c r="J96" s="14"/>
      <c r="K96" s="155"/>
    </row>
    <row r="97" spans="1:36" ht="14.25" x14ac:dyDescent="0.2">
      <c r="A97" s="227" t="s">
        <v>37</v>
      </c>
      <c r="B97" s="251"/>
      <c r="C97" s="251"/>
      <c r="D97" s="227"/>
      <c r="E97" s="227"/>
      <c r="F97" s="227"/>
      <c r="G97" s="227"/>
      <c r="H97" s="227"/>
      <c r="I97" s="227"/>
      <c r="J97" s="227"/>
      <c r="K97" s="227"/>
    </row>
    <row r="98" spans="1:36" x14ac:dyDescent="0.2">
      <c r="A98" s="162" t="s">
        <v>38</v>
      </c>
      <c r="B98" s="194" t="s">
        <v>39</v>
      </c>
      <c r="C98" s="167" t="s">
        <v>158</v>
      </c>
      <c r="D98" s="151" t="s">
        <v>257</v>
      </c>
      <c r="E98" s="133">
        <v>2015</v>
      </c>
      <c r="F98" s="14">
        <f t="shared" ref="F98:F103" si="3">SUM(G98:I98)</f>
        <v>0</v>
      </c>
      <c r="G98" s="14"/>
      <c r="H98" s="14"/>
      <c r="I98" s="14">
        <v>0</v>
      </c>
      <c r="J98" s="14"/>
      <c r="K98" s="151" t="s">
        <v>173</v>
      </c>
    </row>
    <row r="99" spans="1:36" x14ac:dyDescent="0.2">
      <c r="A99" s="162"/>
      <c r="B99" s="195"/>
      <c r="C99" s="152"/>
      <c r="D99" s="154"/>
      <c r="E99" s="133">
        <v>2016</v>
      </c>
      <c r="F99" s="14">
        <f t="shared" si="3"/>
        <v>0</v>
      </c>
      <c r="G99" s="14"/>
      <c r="H99" s="14"/>
      <c r="I99" s="14">
        <v>0</v>
      </c>
      <c r="J99" s="14"/>
      <c r="K99" s="154"/>
    </row>
    <row r="100" spans="1:36" x14ac:dyDescent="0.2">
      <c r="A100" s="162"/>
      <c r="B100" s="195"/>
      <c r="C100" s="152"/>
      <c r="D100" s="154"/>
      <c r="E100" s="133">
        <v>2017</v>
      </c>
      <c r="F100" s="14">
        <f t="shared" si="3"/>
        <v>0</v>
      </c>
      <c r="G100" s="14"/>
      <c r="H100" s="14"/>
      <c r="I100" s="14">
        <v>0</v>
      </c>
      <c r="J100" s="14"/>
      <c r="K100" s="154"/>
    </row>
    <row r="101" spans="1:36" x14ac:dyDescent="0.2">
      <c r="A101" s="162"/>
      <c r="B101" s="195"/>
      <c r="C101" s="152"/>
      <c r="D101" s="154"/>
      <c r="E101" s="133">
        <v>2018</v>
      </c>
      <c r="F101" s="14">
        <f t="shared" si="3"/>
        <v>176.7</v>
      </c>
      <c r="G101" s="14"/>
      <c r="H101" s="14"/>
      <c r="I101" s="14">
        <v>176.7</v>
      </c>
      <c r="J101" s="14"/>
      <c r="K101" s="154"/>
    </row>
    <row r="102" spans="1:36" x14ac:dyDescent="0.2">
      <c r="A102" s="162"/>
      <c r="B102" s="195"/>
      <c r="C102" s="152"/>
      <c r="D102" s="154"/>
      <c r="E102" s="133">
        <v>2019</v>
      </c>
      <c r="F102" s="14">
        <f t="shared" si="3"/>
        <v>202</v>
      </c>
      <c r="G102" s="14"/>
      <c r="H102" s="14"/>
      <c r="I102" s="14">
        <v>202</v>
      </c>
      <c r="J102" s="14"/>
      <c r="K102" s="154"/>
    </row>
    <row r="103" spans="1:36" x14ac:dyDescent="0.2">
      <c r="A103" s="162"/>
      <c r="B103" s="195"/>
      <c r="C103" s="152"/>
      <c r="D103" s="154"/>
      <c r="E103" s="133">
        <v>2020</v>
      </c>
      <c r="F103" s="14">
        <f t="shared" si="3"/>
        <v>230.6</v>
      </c>
      <c r="G103" s="14"/>
      <c r="H103" s="14"/>
      <c r="I103" s="14">
        <v>230.6</v>
      </c>
      <c r="J103" s="14"/>
      <c r="K103" s="154"/>
    </row>
    <row r="104" spans="1:36" x14ac:dyDescent="0.2">
      <c r="A104" s="162"/>
      <c r="B104" s="195"/>
      <c r="C104" s="153"/>
      <c r="D104" s="155"/>
      <c r="E104" s="24" t="s">
        <v>18</v>
      </c>
      <c r="F104" s="13">
        <f>SUM(F98:F103)</f>
        <v>609.29999999999995</v>
      </c>
      <c r="G104" s="13"/>
      <c r="H104" s="13"/>
      <c r="I104" s="13">
        <f>SUM(I98:I103)</f>
        <v>609.29999999999995</v>
      </c>
      <c r="J104" s="14"/>
      <c r="K104" s="155"/>
    </row>
    <row r="105" spans="1:36" ht="20.25" customHeight="1" x14ac:dyDescent="0.25">
      <c r="A105" s="236" t="s">
        <v>243</v>
      </c>
      <c r="B105" s="237"/>
      <c r="C105" s="238"/>
      <c r="D105" s="239"/>
      <c r="E105" s="41"/>
      <c r="F105" s="16">
        <f>SUM(G105:I105)</f>
        <v>347831.19999999995</v>
      </c>
      <c r="G105" s="16"/>
      <c r="H105" s="16">
        <f>H104+H96+H88+H72+H49+H30</f>
        <v>189515.5</v>
      </c>
      <c r="I105" s="16">
        <f>I104+I96+I88+I72+I49+I30</f>
        <v>158315.69999999998</v>
      </c>
      <c r="J105" s="27"/>
      <c r="K105" s="41"/>
    </row>
    <row r="106" spans="1:36" ht="16.5" thickBot="1" x14ac:dyDescent="0.3">
      <c r="A106" s="240" t="s">
        <v>225</v>
      </c>
      <c r="B106" s="241"/>
      <c r="C106" s="241"/>
      <c r="D106" s="241"/>
      <c r="E106" s="241"/>
      <c r="F106" s="241"/>
      <c r="G106" s="241"/>
      <c r="H106" s="241"/>
      <c r="I106" s="241"/>
      <c r="J106" s="241"/>
      <c r="K106" s="242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127"/>
      <c r="Y106" s="127"/>
      <c r="Z106" s="127"/>
      <c r="AA106" s="127"/>
      <c r="AB106" s="127"/>
      <c r="AC106" s="127"/>
      <c r="AD106" s="127"/>
      <c r="AE106" s="127"/>
      <c r="AF106" s="127"/>
      <c r="AG106" s="127"/>
      <c r="AH106" s="127"/>
      <c r="AI106" s="127"/>
      <c r="AJ106" s="127"/>
    </row>
    <row r="107" spans="1:36" ht="44.25" customHeight="1" thickBot="1" x14ac:dyDescent="0.25">
      <c r="A107" s="243" t="s">
        <v>274</v>
      </c>
      <c r="B107" s="244"/>
      <c r="C107" s="244"/>
      <c r="D107" s="244"/>
      <c r="E107" s="244"/>
      <c r="F107" s="244"/>
      <c r="G107" s="244"/>
      <c r="H107" s="244"/>
      <c r="I107" s="244"/>
      <c r="J107" s="244"/>
      <c r="K107" s="245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</row>
    <row r="108" spans="1:36" x14ac:dyDescent="0.2">
      <c r="A108" s="162" t="s">
        <v>40</v>
      </c>
      <c r="B108" s="246" t="s">
        <v>41</v>
      </c>
      <c r="C108" s="196" t="s">
        <v>158</v>
      </c>
      <c r="D108" s="248" t="s">
        <v>257</v>
      </c>
      <c r="E108" s="133">
        <v>2015</v>
      </c>
      <c r="F108" s="133"/>
      <c r="G108" s="133"/>
      <c r="H108" s="133"/>
      <c r="I108" s="133"/>
      <c r="J108" s="133"/>
      <c r="K108" s="250" t="s">
        <v>42</v>
      </c>
    </row>
    <row r="109" spans="1:36" x14ac:dyDescent="0.2">
      <c r="A109" s="162"/>
      <c r="B109" s="247"/>
      <c r="C109" s="197"/>
      <c r="D109" s="249"/>
      <c r="E109" s="133">
        <v>2016</v>
      </c>
      <c r="F109" s="133"/>
      <c r="G109" s="133"/>
      <c r="H109" s="133"/>
      <c r="I109" s="133"/>
      <c r="J109" s="133"/>
      <c r="K109" s="154"/>
    </row>
    <row r="110" spans="1:36" x14ac:dyDescent="0.2">
      <c r="A110" s="162"/>
      <c r="B110" s="247"/>
      <c r="C110" s="197"/>
      <c r="D110" s="249"/>
      <c r="E110" s="133">
        <v>2017</v>
      </c>
      <c r="F110" s="133"/>
      <c r="G110" s="133"/>
      <c r="H110" s="133"/>
      <c r="I110" s="133"/>
      <c r="J110" s="133"/>
      <c r="K110" s="154"/>
    </row>
    <row r="111" spans="1:36" x14ac:dyDescent="0.2">
      <c r="A111" s="162"/>
      <c r="B111" s="247"/>
      <c r="C111" s="197"/>
      <c r="D111" s="249"/>
      <c r="E111" s="133">
        <v>2018</v>
      </c>
      <c r="F111" s="133"/>
      <c r="G111" s="133"/>
      <c r="H111" s="133"/>
      <c r="I111" s="133"/>
      <c r="J111" s="133"/>
      <c r="K111" s="154"/>
    </row>
    <row r="112" spans="1:36" x14ac:dyDescent="0.2">
      <c r="A112" s="162"/>
      <c r="B112" s="247"/>
      <c r="C112" s="197"/>
      <c r="D112" s="249"/>
      <c r="E112" s="133">
        <v>2019</v>
      </c>
      <c r="F112" s="133"/>
      <c r="G112" s="133"/>
      <c r="H112" s="133"/>
      <c r="I112" s="133"/>
      <c r="J112" s="133"/>
      <c r="K112" s="154"/>
    </row>
    <row r="113" spans="1:36" x14ac:dyDescent="0.2">
      <c r="A113" s="162"/>
      <c r="B113" s="247"/>
      <c r="C113" s="197"/>
      <c r="D113" s="249"/>
      <c r="E113" s="133">
        <v>2020</v>
      </c>
      <c r="F113" s="133"/>
      <c r="G113" s="133"/>
      <c r="H113" s="133"/>
      <c r="I113" s="133"/>
      <c r="J113" s="133"/>
      <c r="K113" s="154"/>
    </row>
    <row r="114" spans="1:36" ht="21.75" customHeight="1" x14ac:dyDescent="0.2">
      <c r="A114" s="163"/>
      <c r="B114" s="247"/>
      <c r="C114" s="197"/>
      <c r="D114" s="249"/>
      <c r="E114" s="33" t="s">
        <v>18</v>
      </c>
      <c r="F114" s="138"/>
      <c r="G114" s="138"/>
      <c r="H114" s="138"/>
      <c r="I114" s="138"/>
      <c r="J114" s="138"/>
      <c r="K114" s="155"/>
    </row>
    <row r="115" spans="1:36" ht="18" customHeight="1" x14ac:dyDescent="0.2">
      <c r="A115" s="252" t="s">
        <v>246</v>
      </c>
      <c r="B115" s="253"/>
      <c r="C115" s="253"/>
      <c r="D115" s="253"/>
      <c r="E115" s="254"/>
      <c r="F115" s="255" t="s">
        <v>43</v>
      </c>
      <c r="G115" s="256"/>
      <c r="H115" s="256"/>
      <c r="I115" s="256"/>
      <c r="J115" s="257"/>
      <c r="K115" s="111"/>
    </row>
    <row r="116" spans="1:36" x14ac:dyDescent="0.2">
      <c r="A116" s="156" t="s">
        <v>44</v>
      </c>
      <c r="B116" s="258"/>
      <c r="C116" s="258"/>
      <c r="D116" s="258"/>
      <c r="E116" s="258"/>
      <c r="F116" s="258"/>
      <c r="G116" s="258"/>
      <c r="H116" s="258"/>
      <c r="I116" s="258"/>
      <c r="J116" s="258"/>
      <c r="K116" s="258"/>
    </row>
    <row r="117" spans="1:36" ht="31.5" customHeight="1" x14ac:dyDescent="0.2">
      <c r="A117" s="169" t="s">
        <v>45</v>
      </c>
      <c r="B117" s="177"/>
      <c r="C117" s="177"/>
      <c r="D117" s="177"/>
      <c r="E117" s="177"/>
      <c r="F117" s="177"/>
      <c r="G117" s="177"/>
      <c r="H117" s="177"/>
      <c r="I117" s="177"/>
      <c r="J117" s="177"/>
      <c r="K117" s="177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</row>
    <row r="118" spans="1:36" x14ac:dyDescent="0.2">
      <c r="A118" s="161" t="s">
        <v>46</v>
      </c>
      <c r="B118" s="263" t="s">
        <v>47</v>
      </c>
      <c r="C118" s="264" t="s">
        <v>158</v>
      </c>
      <c r="D118" s="199" t="s">
        <v>257</v>
      </c>
      <c r="E118" s="139">
        <v>2015</v>
      </c>
      <c r="F118" s="139"/>
      <c r="G118" s="139"/>
      <c r="H118" s="139"/>
      <c r="I118" s="139"/>
      <c r="J118" s="139"/>
      <c r="K118" s="151" t="s">
        <v>48</v>
      </c>
    </row>
    <row r="119" spans="1:36" x14ac:dyDescent="0.2">
      <c r="A119" s="162"/>
      <c r="B119" s="177"/>
      <c r="C119" s="197"/>
      <c r="D119" s="200"/>
      <c r="E119" s="133">
        <v>2016</v>
      </c>
      <c r="F119" s="133"/>
      <c r="G119" s="133"/>
      <c r="H119" s="133"/>
      <c r="I119" s="133"/>
      <c r="J119" s="133"/>
      <c r="K119" s="154"/>
    </row>
    <row r="120" spans="1:36" x14ac:dyDescent="0.2">
      <c r="A120" s="162"/>
      <c r="B120" s="177"/>
      <c r="C120" s="197"/>
      <c r="D120" s="200"/>
      <c r="E120" s="133">
        <v>2017</v>
      </c>
      <c r="F120" s="133"/>
      <c r="G120" s="133"/>
      <c r="H120" s="133"/>
      <c r="I120" s="133"/>
      <c r="J120" s="133"/>
      <c r="K120" s="154"/>
    </row>
    <row r="121" spans="1:36" x14ac:dyDescent="0.2">
      <c r="A121" s="162"/>
      <c r="B121" s="177"/>
      <c r="C121" s="197"/>
      <c r="D121" s="200"/>
      <c r="E121" s="133">
        <v>2018</v>
      </c>
      <c r="F121" s="133"/>
      <c r="G121" s="133"/>
      <c r="H121" s="133"/>
      <c r="I121" s="133"/>
      <c r="J121" s="133"/>
      <c r="K121" s="154"/>
    </row>
    <row r="122" spans="1:36" x14ac:dyDescent="0.2">
      <c r="A122" s="162"/>
      <c r="B122" s="177"/>
      <c r="C122" s="197"/>
      <c r="D122" s="200"/>
      <c r="E122" s="133">
        <v>2019</v>
      </c>
      <c r="F122" s="133"/>
      <c r="G122" s="133"/>
      <c r="H122" s="133"/>
      <c r="I122" s="133"/>
      <c r="J122" s="133"/>
      <c r="K122" s="154"/>
    </row>
    <row r="123" spans="1:36" x14ac:dyDescent="0.2">
      <c r="A123" s="162"/>
      <c r="B123" s="177"/>
      <c r="C123" s="197"/>
      <c r="D123" s="200"/>
      <c r="E123" s="133">
        <v>2020</v>
      </c>
      <c r="F123" s="133"/>
      <c r="G123" s="133"/>
      <c r="H123" s="133"/>
      <c r="I123" s="133"/>
      <c r="J123" s="133"/>
      <c r="K123" s="154"/>
    </row>
    <row r="124" spans="1:36" ht="30" customHeight="1" thickBot="1" x14ac:dyDescent="0.25">
      <c r="A124" s="162"/>
      <c r="B124" s="177"/>
      <c r="C124" s="198"/>
      <c r="D124" s="201"/>
      <c r="E124" s="24" t="s">
        <v>18</v>
      </c>
      <c r="F124" s="133"/>
      <c r="G124" s="133"/>
      <c r="H124" s="133"/>
      <c r="I124" s="133"/>
      <c r="J124" s="133"/>
      <c r="K124" s="155"/>
    </row>
    <row r="125" spans="1:36" x14ac:dyDescent="0.2">
      <c r="A125" s="162" t="s">
        <v>49</v>
      </c>
      <c r="B125" s="259" t="s">
        <v>50</v>
      </c>
      <c r="C125" s="196" t="s">
        <v>158</v>
      </c>
      <c r="D125" s="199" t="s">
        <v>257</v>
      </c>
      <c r="E125" s="133">
        <v>2015</v>
      </c>
      <c r="F125" s="133"/>
      <c r="G125" s="133"/>
      <c r="H125" s="133"/>
      <c r="I125" s="133"/>
      <c r="J125" s="133"/>
      <c r="K125" s="151" t="s">
        <v>51</v>
      </c>
    </row>
    <row r="126" spans="1:36" x14ac:dyDescent="0.2">
      <c r="A126" s="162"/>
      <c r="B126" s="177"/>
      <c r="C126" s="197"/>
      <c r="D126" s="200"/>
      <c r="E126" s="133">
        <v>2016</v>
      </c>
      <c r="F126" s="133"/>
      <c r="G126" s="133"/>
      <c r="H126" s="133"/>
      <c r="I126" s="133"/>
      <c r="J126" s="133"/>
      <c r="K126" s="154"/>
    </row>
    <row r="127" spans="1:36" x14ac:dyDescent="0.2">
      <c r="A127" s="162"/>
      <c r="B127" s="177"/>
      <c r="C127" s="197"/>
      <c r="D127" s="200"/>
      <c r="E127" s="133">
        <v>2017</v>
      </c>
      <c r="F127" s="133"/>
      <c r="G127" s="133"/>
      <c r="H127" s="133"/>
      <c r="I127" s="133"/>
      <c r="J127" s="133"/>
      <c r="K127" s="154"/>
    </row>
    <row r="128" spans="1:36" x14ac:dyDescent="0.2">
      <c r="A128" s="162"/>
      <c r="B128" s="177"/>
      <c r="C128" s="197"/>
      <c r="D128" s="200"/>
      <c r="E128" s="133">
        <v>2018</v>
      </c>
      <c r="F128" s="133"/>
      <c r="G128" s="133"/>
      <c r="H128" s="133"/>
      <c r="I128" s="133"/>
      <c r="J128" s="133"/>
      <c r="K128" s="154"/>
    </row>
    <row r="129" spans="1:36" x14ac:dyDescent="0.2">
      <c r="A129" s="162"/>
      <c r="B129" s="177"/>
      <c r="C129" s="197"/>
      <c r="D129" s="200"/>
      <c r="E129" s="133">
        <v>2019</v>
      </c>
      <c r="F129" s="133"/>
      <c r="G129" s="133"/>
      <c r="H129" s="133"/>
      <c r="I129" s="133"/>
      <c r="J129" s="133"/>
      <c r="K129" s="154"/>
    </row>
    <row r="130" spans="1:36" x14ac:dyDescent="0.2">
      <c r="A130" s="162"/>
      <c r="B130" s="177"/>
      <c r="C130" s="197"/>
      <c r="D130" s="200"/>
      <c r="E130" s="133">
        <v>2020</v>
      </c>
      <c r="F130" s="133"/>
      <c r="G130" s="133"/>
      <c r="H130" s="133"/>
      <c r="I130" s="133"/>
      <c r="J130" s="133"/>
      <c r="K130" s="154"/>
    </row>
    <row r="131" spans="1:36" ht="58.5" customHeight="1" x14ac:dyDescent="0.2">
      <c r="A131" s="163"/>
      <c r="B131" s="157"/>
      <c r="C131" s="197"/>
      <c r="D131" s="201"/>
      <c r="E131" s="33" t="s">
        <v>18</v>
      </c>
      <c r="F131" s="138"/>
      <c r="G131" s="138"/>
      <c r="H131" s="138"/>
      <c r="I131" s="138"/>
      <c r="J131" s="138"/>
      <c r="K131" s="155"/>
    </row>
    <row r="132" spans="1:36" ht="32.25" customHeight="1" x14ac:dyDescent="0.2">
      <c r="A132" s="169" t="s">
        <v>52</v>
      </c>
      <c r="B132" s="177"/>
      <c r="C132" s="177"/>
      <c r="D132" s="177"/>
      <c r="E132" s="177"/>
      <c r="F132" s="177"/>
      <c r="G132" s="177"/>
      <c r="H132" s="177"/>
      <c r="I132" s="177"/>
      <c r="J132" s="177"/>
      <c r="K132" s="177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</row>
    <row r="133" spans="1:36" ht="15.75" thickBot="1" x14ac:dyDescent="0.3">
      <c r="A133" s="169" t="s">
        <v>167</v>
      </c>
      <c r="B133" s="265"/>
      <c r="C133" s="265"/>
      <c r="D133" s="265"/>
      <c r="E133" s="265"/>
      <c r="F133" s="265"/>
      <c r="G133" s="265"/>
      <c r="H133" s="265"/>
      <c r="I133" s="265"/>
      <c r="J133" s="265"/>
      <c r="K133" s="265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</row>
    <row r="134" spans="1:36" x14ac:dyDescent="0.2">
      <c r="A134" s="226" t="s">
        <v>54</v>
      </c>
      <c r="B134" s="194" t="s">
        <v>55</v>
      </c>
      <c r="C134" s="196" t="s">
        <v>158</v>
      </c>
      <c r="D134" s="199" t="s">
        <v>257</v>
      </c>
      <c r="E134" s="133">
        <v>2015</v>
      </c>
      <c r="F134" s="14">
        <f t="shared" ref="F134:F139" si="4">SUM(G134:J134)</f>
        <v>289323.7</v>
      </c>
      <c r="G134" s="14"/>
      <c r="H134" s="14">
        <f>313444.2-24120.5</f>
        <v>289323.7</v>
      </c>
      <c r="I134" s="14"/>
      <c r="J134" s="14"/>
      <c r="K134" s="151" t="s">
        <v>56</v>
      </c>
    </row>
    <row r="135" spans="1:36" x14ac:dyDescent="0.2">
      <c r="A135" s="226"/>
      <c r="B135" s="195"/>
      <c r="C135" s="197"/>
      <c r="D135" s="200"/>
      <c r="E135" s="133">
        <v>2016</v>
      </c>
      <c r="F135" s="14">
        <f t="shared" si="4"/>
        <v>292770.7</v>
      </c>
      <c r="G135" s="14"/>
      <c r="H135" s="14">
        <f>321212.7-28442</f>
        <v>292770.7</v>
      </c>
      <c r="I135" s="14"/>
      <c r="J135" s="14"/>
      <c r="K135" s="154"/>
    </row>
    <row r="136" spans="1:36" x14ac:dyDescent="0.2">
      <c r="A136" s="226"/>
      <c r="B136" s="195"/>
      <c r="C136" s="197"/>
      <c r="D136" s="200"/>
      <c r="E136" s="133">
        <v>2017</v>
      </c>
      <c r="F136" s="14">
        <f t="shared" si="4"/>
        <v>407056.8</v>
      </c>
      <c r="G136" s="14"/>
      <c r="H136" s="14">
        <v>407056.8</v>
      </c>
      <c r="I136" s="14"/>
      <c r="J136" s="14"/>
      <c r="K136" s="154"/>
    </row>
    <row r="137" spans="1:36" x14ac:dyDescent="0.2">
      <c r="A137" s="226"/>
      <c r="B137" s="195"/>
      <c r="C137" s="197"/>
      <c r="D137" s="200"/>
      <c r="E137" s="133">
        <v>2018</v>
      </c>
      <c r="F137" s="14">
        <f t="shared" si="4"/>
        <v>291795.59999999998</v>
      </c>
      <c r="G137" s="14"/>
      <c r="H137" s="14">
        <v>291795.59999999998</v>
      </c>
      <c r="I137" s="14"/>
      <c r="J137" s="14"/>
      <c r="K137" s="154"/>
    </row>
    <row r="138" spans="1:36" x14ac:dyDescent="0.2">
      <c r="A138" s="226"/>
      <c r="B138" s="195"/>
      <c r="C138" s="197"/>
      <c r="D138" s="200"/>
      <c r="E138" s="133">
        <v>2019</v>
      </c>
      <c r="F138" s="14">
        <f t="shared" si="4"/>
        <v>306971.40000000002</v>
      </c>
      <c r="G138" s="14"/>
      <c r="H138" s="14">
        <v>306971.40000000002</v>
      </c>
      <c r="I138" s="14"/>
      <c r="J138" s="14"/>
      <c r="K138" s="154"/>
    </row>
    <row r="139" spans="1:36" x14ac:dyDescent="0.2">
      <c r="A139" s="226"/>
      <c r="B139" s="195"/>
      <c r="C139" s="197"/>
      <c r="D139" s="200"/>
      <c r="E139" s="133">
        <v>2020</v>
      </c>
      <c r="F139" s="14">
        <f t="shared" si="4"/>
        <v>324467.09999999998</v>
      </c>
      <c r="G139" s="14"/>
      <c r="H139" s="14">
        <v>324467.09999999998</v>
      </c>
      <c r="I139" s="14"/>
      <c r="J139" s="14"/>
      <c r="K139" s="154"/>
    </row>
    <row r="140" spans="1:36" ht="26.25" customHeight="1" x14ac:dyDescent="0.2">
      <c r="A140" s="226"/>
      <c r="B140" s="195"/>
      <c r="C140" s="197"/>
      <c r="D140" s="201"/>
      <c r="E140" s="24" t="s">
        <v>18</v>
      </c>
      <c r="F140" s="13">
        <f>SUM(F134:F139)</f>
        <v>1912385.2999999998</v>
      </c>
      <c r="G140" s="13"/>
      <c r="H140" s="13">
        <f>SUM(H134:H139)</f>
        <v>1912385.2999999998</v>
      </c>
      <c r="I140" s="13"/>
      <c r="J140" s="13"/>
      <c r="K140" s="154"/>
    </row>
    <row r="141" spans="1:36" x14ac:dyDescent="0.2">
      <c r="A141" s="226" t="s">
        <v>57</v>
      </c>
      <c r="B141" s="194" t="s">
        <v>58</v>
      </c>
      <c r="C141" s="148" t="s">
        <v>158</v>
      </c>
      <c r="D141" s="260" t="s">
        <v>257</v>
      </c>
      <c r="E141" s="133">
        <v>2015</v>
      </c>
      <c r="F141" s="14">
        <f t="shared" ref="F141:F146" si="5">SUM(G141:J141)</f>
        <v>51438.500000000007</v>
      </c>
      <c r="G141" s="14"/>
      <c r="H141" s="14"/>
      <c r="I141" s="14">
        <f>54650+6257.8-2384.6-2000-2408.2-401.3-516.2-1759</f>
        <v>51438.500000000007</v>
      </c>
      <c r="J141" s="14"/>
      <c r="K141" s="154"/>
    </row>
    <row r="142" spans="1:36" x14ac:dyDescent="0.2">
      <c r="A142" s="226"/>
      <c r="B142" s="195"/>
      <c r="C142" s="149"/>
      <c r="D142" s="261"/>
      <c r="E142" s="133">
        <v>2016</v>
      </c>
      <c r="F142" s="14">
        <f t="shared" si="5"/>
        <v>51982.5</v>
      </c>
      <c r="G142" s="14"/>
      <c r="H142" s="14"/>
      <c r="I142" s="14">
        <f>57382.5-5400</f>
        <v>51982.5</v>
      </c>
      <c r="J142" s="14"/>
      <c r="K142" s="154"/>
    </row>
    <row r="143" spans="1:36" x14ac:dyDescent="0.2">
      <c r="A143" s="226"/>
      <c r="B143" s="195"/>
      <c r="C143" s="149"/>
      <c r="D143" s="261"/>
      <c r="E143" s="133">
        <v>2017</v>
      </c>
      <c r="F143" s="14">
        <f t="shared" si="5"/>
        <v>57382.5</v>
      </c>
      <c r="G143" s="14"/>
      <c r="H143" s="14"/>
      <c r="I143" s="14">
        <v>57382.5</v>
      </c>
      <c r="J143" s="14"/>
      <c r="K143" s="154"/>
    </row>
    <row r="144" spans="1:36" x14ac:dyDescent="0.2">
      <c r="A144" s="226"/>
      <c r="B144" s="195"/>
      <c r="C144" s="149"/>
      <c r="D144" s="261"/>
      <c r="E144" s="133">
        <v>2018</v>
      </c>
      <c r="F144" s="14">
        <f t="shared" si="5"/>
        <v>61079.4</v>
      </c>
      <c r="G144" s="14"/>
      <c r="H144" s="14"/>
      <c r="I144" s="14">
        <v>61079.4</v>
      </c>
      <c r="J144" s="14"/>
      <c r="K144" s="154"/>
    </row>
    <row r="145" spans="1:11" x14ac:dyDescent="0.2">
      <c r="A145" s="226"/>
      <c r="B145" s="195"/>
      <c r="C145" s="149"/>
      <c r="D145" s="261"/>
      <c r="E145" s="133">
        <v>2019</v>
      </c>
      <c r="F145" s="14">
        <f t="shared" si="5"/>
        <v>64255.5</v>
      </c>
      <c r="G145" s="14"/>
      <c r="H145" s="14"/>
      <c r="I145" s="14">
        <v>64255.5</v>
      </c>
      <c r="J145" s="14"/>
      <c r="K145" s="154"/>
    </row>
    <row r="146" spans="1:11" x14ac:dyDescent="0.2">
      <c r="A146" s="226"/>
      <c r="B146" s="195"/>
      <c r="C146" s="149"/>
      <c r="D146" s="261"/>
      <c r="E146" s="133">
        <v>2020</v>
      </c>
      <c r="F146" s="14">
        <f t="shared" si="5"/>
        <v>67918.100000000006</v>
      </c>
      <c r="G146" s="14"/>
      <c r="H146" s="14"/>
      <c r="I146" s="14">
        <v>67918.100000000006</v>
      </c>
      <c r="J146" s="14"/>
      <c r="K146" s="154"/>
    </row>
    <row r="147" spans="1:11" ht="47.25" customHeight="1" x14ac:dyDescent="0.2">
      <c r="A147" s="226"/>
      <c r="B147" s="195"/>
      <c r="C147" s="149"/>
      <c r="D147" s="262"/>
      <c r="E147" s="24" t="s">
        <v>18</v>
      </c>
      <c r="F147" s="13">
        <f>SUM(F141:F146)</f>
        <v>354056.5</v>
      </c>
      <c r="G147" s="13"/>
      <c r="H147" s="13"/>
      <c r="I147" s="13">
        <f>SUM(I141:I146)</f>
        <v>354056.5</v>
      </c>
      <c r="J147" s="13"/>
      <c r="K147" s="155"/>
    </row>
    <row r="148" spans="1:11" x14ac:dyDescent="0.2">
      <c r="A148" s="162" t="s">
        <v>59</v>
      </c>
      <c r="B148" s="194" t="s">
        <v>60</v>
      </c>
      <c r="C148" s="277" t="s">
        <v>158</v>
      </c>
      <c r="D148" s="199" t="s">
        <v>257</v>
      </c>
      <c r="E148" s="133">
        <v>2015</v>
      </c>
      <c r="F148" s="2"/>
      <c r="G148" s="2"/>
      <c r="H148" s="2"/>
      <c r="I148" s="2"/>
      <c r="J148" s="2"/>
      <c r="K148" s="151" t="s">
        <v>61</v>
      </c>
    </row>
    <row r="149" spans="1:11" x14ac:dyDescent="0.2">
      <c r="A149" s="162"/>
      <c r="B149" s="195"/>
      <c r="C149" s="197"/>
      <c r="D149" s="200"/>
      <c r="E149" s="133">
        <v>2016</v>
      </c>
      <c r="F149" s="2"/>
      <c r="G149" s="2"/>
      <c r="H149" s="2"/>
      <c r="I149" s="2"/>
      <c r="J149" s="2"/>
      <c r="K149" s="154"/>
    </row>
    <row r="150" spans="1:11" x14ac:dyDescent="0.2">
      <c r="A150" s="162"/>
      <c r="B150" s="195"/>
      <c r="C150" s="197"/>
      <c r="D150" s="200"/>
      <c r="E150" s="133">
        <v>2017</v>
      </c>
      <c r="F150" s="2"/>
      <c r="G150" s="2"/>
      <c r="H150" s="2"/>
      <c r="I150" s="2"/>
      <c r="J150" s="2"/>
      <c r="K150" s="154"/>
    </row>
    <row r="151" spans="1:11" x14ac:dyDescent="0.2">
      <c r="A151" s="162"/>
      <c r="B151" s="195"/>
      <c r="C151" s="197"/>
      <c r="D151" s="200"/>
      <c r="E151" s="133">
        <v>2018</v>
      </c>
      <c r="F151" s="2"/>
      <c r="G151" s="2"/>
      <c r="H151" s="2"/>
      <c r="I151" s="2"/>
      <c r="J151" s="2"/>
      <c r="K151" s="154"/>
    </row>
    <row r="152" spans="1:11" x14ac:dyDescent="0.2">
      <c r="A152" s="162"/>
      <c r="B152" s="195"/>
      <c r="C152" s="197"/>
      <c r="D152" s="200"/>
      <c r="E152" s="133">
        <v>2019</v>
      </c>
      <c r="F152" s="2"/>
      <c r="G152" s="2"/>
      <c r="H152" s="2"/>
      <c r="I152" s="2"/>
      <c r="J152" s="2"/>
      <c r="K152" s="154"/>
    </row>
    <row r="153" spans="1:11" x14ac:dyDescent="0.2">
      <c r="A153" s="162"/>
      <c r="B153" s="195"/>
      <c r="C153" s="197"/>
      <c r="D153" s="200"/>
      <c r="E153" s="133">
        <v>2020</v>
      </c>
      <c r="F153" s="2"/>
      <c r="G153" s="2"/>
      <c r="H153" s="2"/>
      <c r="I153" s="2"/>
      <c r="J153" s="2"/>
      <c r="K153" s="154"/>
    </row>
    <row r="154" spans="1:11" ht="92.25" customHeight="1" x14ac:dyDescent="0.2">
      <c r="A154" s="162"/>
      <c r="B154" s="195"/>
      <c r="C154" s="278"/>
      <c r="D154" s="201"/>
      <c r="E154" s="24" t="s">
        <v>18</v>
      </c>
      <c r="F154" s="2"/>
      <c r="G154" s="2"/>
      <c r="H154" s="2"/>
      <c r="I154" s="2"/>
      <c r="J154" s="2"/>
      <c r="K154" s="155"/>
    </row>
    <row r="155" spans="1:11" x14ac:dyDescent="0.2">
      <c r="A155" s="161" t="s">
        <v>62</v>
      </c>
      <c r="B155" s="275" t="s">
        <v>275</v>
      </c>
      <c r="C155" s="264" t="s">
        <v>158</v>
      </c>
      <c r="D155" s="200" t="s">
        <v>257</v>
      </c>
      <c r="E155" s="139">
        <v>2015</v>
      </c>
      <c r="F155" s="1"/>
      <c r="G155" s="1"/>
      <c r="H155" s="1"/>
      <c r="I155" s="1"/>
      <c r="J155" s="1"/>
      <c r="K155" s="154" t="s">
        <v>63</v>
      </c>
    </row>
    <row r="156" spans="1:11" x14ac:dyDescent="0.2">
      <c r="A156" s="162"/>
      <c r="B156" s="275"/>
      <c r="C156" s="197"/>
      <c r="D156" s="200"/>
      <c r="E156" s="133">
        <v>2016</v>
      </c>
      <c r="F156" s="2"/>
      <c r="G156" s="2"/>
      <c r="H156" s="2"/>
      <c r="I156" s="2"/>
      <c r="J156" s="2"/>
      <c r="K156" s="154"/>
    </row>
    <row r="157" spans="1:11" x14ac:dyDescent="0.2">
      <c r="A157" s="162"/>
      <c r="B157" s="275"/>
      <c r="C157" s="197"/>
      <c r="D157" s="200"/>
      <c r="E157" s="133">
        <v>2017</v>
      </c>
      <c r="F157" s="2"/>
      <c r="G157" s="2"/>
      <c r="H157" s="2"/>
      <c r="I157" s="2"/>
      <c r="J157" s="2"/>
      <c r="K157" s="154"/>
    </row>
    <row r="158" spans="1:11" x14ac:dyDescent="0.2">
      <c r="A158" s="162"/>
      <c r="B158" s="275"/>
      <c r="C158" s="197"/>
      <c r="D158" s="200"/>
      <c r="E158" s="133">
        <v>2018</v>
      </c>
      <c r="F158" s="2"/>
      <c r="G158" s="2"/>
      <c r="H158" s="2"/>
      <c r="I158" s="2"/>
      <c r="J158" s="2"/>
      <c r="K158" s="154"/>
    </row>
    <row r="159" spans="1:11" x14ac:dyDescent="0.2">
      <c r="A159" s="162"/>
      <c r="B159" s="275"/>
      <c r="C159" s="197"/>
      <c r="D159" s="200"/>
      <c r="E159" s="133">
        <v>2019</v>
      </c>
      <c r="F159" s="2"/>
      <c r="G159" s="2"/>
      <c r="H159" s="2"/>
      <c r="I159" s="2"/>
      <c r="J159" s="2"/>
      <c r="K159" s="154"/>
    </row>
    <row r="160" spans="1:11" x14ac:dyDescent="0.2">
      <c r="A160" s="162"/>
      <c r="B160" s="275"/>
      <c r="C160" s="197"/>
      <c r="D160" s="200"/>
      <c r="E160" s="133">
        <v>2020</v>
      </c>
      <c r="F160" s="2"/>
      <c r="G160" s="2"/>
      <c r="H160" s="2"/>
      <c r="I160" s="2"/>
      <c r="J160" s="2"/>
      <c r="K160" s="154"/>
    </row>
    <row r="161" spans="1:11" ht="77.25" customHeight="1" thickBot="1" x14ac:dyDescent="0.25">
      <c r="A161" s="162"/>
      <c r="B161" s="276"/>
      <c r="C161" s="197"/>
      <c r="D161" s="201"/>
      <c r="E161" s="24" t="s">
        <v>18</v>
      </c>
      <c r="F161" s="2"/>
      <c r="G161" s="2"/>
      <c r="H161" s="2"/>
      <c r="I161" s="2"/>
      <c r="J161" s="2"/>
      <c r="K161" s="155"/>
    </row>
    <row r="162" spans="1:11" x14ac:dyDescent="0.2">
      <c r="A162" s="162" t="s">
        <v>64</v>
      </c>
      <c r="B162" s="191" t="s">
        <v>65</v>
      </c>
      <c r="C162" s="196" t="s">
        <v>158</v>
      </c>
      <c r="D162" s="199" t="s">
        <v>257</v>
      </c>
      <c r="E162" s="133">
        <v>2015</v>
      </c>
      <c r="F162" s="266" t="s">
        <v>66</v>
      </c>
      <c r="G162" s="267"/>
      <c r="H162" s="267"/>
      <c r="I162" s="267"/>
      <c r="J162" s="268"/>
      <c r="K162" s="151" t="s">
        <v>67</v>
      </c>
    </row>
    <row r="163" spans="1:11" x14ac:dyDescent="0.2">
      <c r="A163" s="162"/>
      <c r="B163" s="192"/>
      <c r="C163" s="197"/>
      <c r="D163" s="200"/>
      <c r="E163" s="133">
        <v>2016</v>
      </c>
      <c r="F163" s="269"/>
      <c r="G163" s="270"/>
      <c r="H163" s="270"/>
      <c r="I163" s="270"/>
      <c r="J163" s="271"/>
      <c r="K163" s="154"/>
    </row>
    <row r="164" spans="1:11" x14ac:dyDescent="0.2">
      <c r="A164" s="162"/>
      <c r="B164" s="192"/>
      <c r="C164" s="197"/>
      <c r="D164" s="200"/>
      <c r="E164" s="133">
        <v>2017</v>
      </c>
      <c r="F164" s="269"/>
      <c r="G164" s="270"/>
      <c r="H164" s="270"/>
      <c r="I164" s="270"/>
      <c r="J164" s="271"/>
      <c r="K164" s="154"/>
    </row>
    <row r="165" spans="1:11" x14ac:dyDescent="0.2">
      <c r="A165" s="162"/>
      <c r="B165" s="192"/>
      <c r="C165" s="197"/>
      <c r="D165" s="200"/>
      <c r="E165" s="133">
        <v>2018</v>
      </c>
      <c r="F165" s="269"/>
      <c r="G165" s="270"/>
      <c r="H165" s="270"/>
      <c r="I165" s="270"/>
      <c r="J165" s="271"/>
      <c r="K165" s="154"/>
    </row>
    <row r="166" spans="1:11" x14ac:dyDescent="0.2">
      <c r="A166" s="162"/>
      <c r="B166" s="192"/>
      <c r="C166" s="197"/>
      <c r="D166" s="200"/>
      <c r="E166" s="133">
        <v>2019</v>
      </c>
      <c r="F166" s="269"/>
      <c r="G166" s="270"/>
      <c r="H166" s="270"/>
      <c r="I166" s="270"/>
      <c r="J166" s="271"/>
      <c r="K166" s="154"/>
    </row>
    <row r="167" spans="1:11" x14ac:dyDescent="0.2">
      <c r="A167" s="162"/>
      <c r="B167" s="192"/>
      <c r="C167" s="197"/>
      <c r="D167" s="200"/>
      <c r="E167" s="133">
        <v>2020</v>
      </c>
      <c r="F167" s="269"/>
      <c r="G167" s="270"/>
      <c r="H167" s="270"/>
      <c r="I167" s="270"/>
      <c r="J167" s="271"/>
      <c r="K167" s="154"/>
    </row>
    <row r="168" spans="1:11" ht="15.75" customHeight="1" thickBot="1" x14ac:dyDescent="0.25">
      <c r="A168" s="162"/>
      <c r="B168" s="193"/>
      <c r="C168" s="197"/>
      <c r="D168" s="201"/>
      <c r="E168" s="24" t="s">
        <v>18</v>
      </c>
      <c r="F168" s="272"/>
      <c r="G168" s="273"/>
      <c r="H168" s="273"/>
      <c r="I168" s="273"/>
      <c r="J168" s="274"/>
      <c r="K168" s="154"/>
    </row>
    <row r="169" spans="1:11" x14ac:dyDescent="0.2">
      <c r="A169" s="162" t="s">
        <v>68</v>
      </c>
      <c r="B169" s="194" t="s">
        <v>69</v>
      </c>
      <c r="C169" s="196" t="s">
        <v>158</v>
      </c>
      <c r="D169" s="199" t="s">
        <v>257</v>
      </c>
      <c r="E169" s="133">
        <v>2015</v>
      </c>
      <c r="F169" s="279" t="s">
        <v>70</v>
      </c>
      <c r="G169" s="280"/>
      <c r="H169" s="280"/>
      <c r="I169" s="280"/>
      <c r="J169" s="281"/>
      <c r="K169" s="152"/>
    </row>
    <row r="170" spans="1:11" x14ac:dyDescent="0.2">
      <c r="A170" s="162"/>
      <c r="B170" s="194"/>
      <c r="C170" s="197"/>
      <c r="D170" s="200"/>
      <c r="E170" s="133">
        <v>2016</v>
      </c>
      <c r="F170" s="282"/>
      <c r="G170" s="283"/>
      <c r="H170" s="283"/>
      <c r="I170" s="283"/>
      <c r="J170" s="284"/>
      <c r="K170" s="152"/>
    </row>
    <row r="171" spans="1:11" x14ac:dyDescent="0.2">
      <c r="A171" s="162"/>
      <c r="B171" s="194"/>
      <c r="C171" s="197"/>
      <c r="D171" s="200"/>
      <c r="E171" s="133">
        <v>2017</v>
      </c>
      <c r="F171" s="282"/>
      <c r="G171" s="283"/>
      <c r="H171" s="283"/>
      <c r="I171" s="283"/>
      <c r="J171" s="284"/>
      <c r="K171" s="152"/>
    </row>
    <row r="172" spans="1:11" x14ac:dyDescent="0.2">
      <c r="A172" s="162"/>
      <c r="B172" s="194"/>
      <c r="C172" s="197"/>
      <c r="D172" s="200"/>
      <c r="E172" s="133">
        <v>2018</v>
      </c>
      <c r="F172" s="282"/>
      <c r="G172" s="283"/>
      <c r="H172" s="283"/>
      <c r="I172" s="283"/>
      <c r="J172" s="284"/>
      <c r="K172" s="152"/>
    </row>
    <row r="173" spans="1:11" x14ac:dyDescent="0.2">
      <c r="A173" s="162"/>
      <c r="B173" s="194"/>
      <c r="C173" s="197"/>
      <c r="D173" s="200"/>
      <c r="E173" s="133">
        <v>2019</v>
      </c>
      <c r="F173" s="282"/>
      <c r="G173" s="283"/>
      <c r="H173" s="283"/>
      <c r="I173" s="283"/>
      <c r="J173" s="284"/>
      <c r="K173" s="152"/>
    </row>
    <row r="174" spans="1:11" x14ac:dyDescent="0.2">
      <c r="A174" s="162"/>
      <c r="B174" s="194"/>
      <c r="C174" s="197"/>
      <c r="D174" s="200"/>
      <c r="E174" s="133">
        <v>2020</v>
      </c>
      <c r="F174" s="285"/>
      <c r="G174" s="286"/>
      <c r="H174" s="286"/>
      <c r="I174" s="286"/>
      <c r="J174" s="287"/>
      <c r="K174" s="152"/>
    </row>
    <row r="175" spans="1:11" x14ac:dyDescent="0.2">
      <c r="A175" s="162"/>
      <c r="B175" s="194"/>
      <c r="C175" s="197"/>
      <c r="D175" s="201"/>
      <c r="E175" s="33" t="s">
        <v>18</v>
      </c>
      <c r="F175" s="138"/>
      <c r="G175" s="138"/>
      <c r="H175" s="138"/>
      <c r="I175" s="138"/>
      <c r="J175" s="138"/>
      <c r="K175" s="153"/>
    </row>
    <row r="176" spans="1:11" ht="14.25" customHeight="1" x14ac:dyDescent="0.2">
      <c r="A176" s="233" t="s">
        <v>163</v>
      </c>
      <c r="B176" s="191" t="s">
        <v>164</v>
      </c>
      <c r="C176" s="167" t="s">
        <v>158</v>
      </c>
      <c r="D176" s="151" t="s">
        <v>257</v>
      </c>
      <c r="E176" s="133">
        <v>2016</v>
      </c>
      <c r="F176" s="14">
        <f>SUM(G176:J176)</f>
        <v>12886.900000000001</v>
      </c>
      <c r="G176" s="28"/>
      <c r="H176" s="28">
        <f>13077.7-190.8</f>
        <v>12886.900000000001</v>
      </c>
      <c r="I176" s="28"/>
      <c r="J176" s="28"/>
      <c r="K176" s="151" t="s">
        <v>177</v>
      </c>
    </row>
    <row r="177" spans="1:32" ht="14.25" customHeight="1" x14ac:dyDescent="0.2">
      <c r="A177" s="234"/>
      <c r="B177" s="292"/>
      <c r="C177" s="181"/>
      <c r="D177" s="154"/>
      <c r="E177" s="133">
        <v>2017</v>
      </c>
      <c r="F177" s="28"/>
      <c r="G177" s="28"/>
      <c r="H177" s="28"/>
      <c r="I177" s="28"/>
      <c r="J177" s="28"/>
      <c r="K177" s="154"/>
    </row>
    <row r="178" spans="1:32" ht="15" customHeight="1" x14ac:dyDescent="0.2">
      <c r="A178" s="234"/>
      <c r="B178" s="292"/>
      <c r="C178" s="181"/>
      <c r="D178" s="154"/>
      <c r="E178" s="133">
        <v>2018</v>
      </c>
      <c r="F178" s="28"/>
      <c r="G178" s="28"/>
      <c r="H178" s="28"/>
      <c r="I178" s="28"/>
      <c r="J178" s="28"/>
      <c r="K178" s="154"/>
    </row>
    <row r="179" spans="1:32" ht="13.5" customHeight="1" x14ac:dyDescent="0.2">
      <c r="A179" s="234"/>
      <c r="B179" s="292"/>
      <c r="C179" s="181"/>
      <c r="D179" s="154"/>
      <c r="E179" s="133">
        <v>2019</v>
      </c>
      <c r="F179" s="28"/>
      <c r="G179" s="28"/>
      <c r="H179" s="28"/>
      <c r="I179" s="28"/>
      <c r="J179" s="28"/>
      <c r="K179" s="154"/>
    </row>
    <row r="180" spans="1:32" ht="16.5" customHeight="1" x14ac:dyDescent="0.2">
      <c r="A180" s="234"/>
      <c r="B180" s="292"/>
      <c r="C180" s="181"/>
      <c r="D180" s="154"/>
      <c r="E180" s="133">
        <v>2020</v>
      </c>
      <c r="F180" s="28"/>
      <c r="G180" s="28"/>
      <c r="H180" s="28"/>
      <c r="I180" s="28"/>
      <c r="J180" s="28"/>
      <c r="K180" s="154"/>
    </row>
    <row r="181" spans="1:32" ht="16.5" customHeight="1" x14ac:dyDescent="0.2">
      <c r="A181" s="235"/>
      <c r="B181" s="293"/>
      <c r="C181" s="182"/>
      <c r="D181" s="155"/>
      <c r="E181" s="24" t="s">
        <v>18</v>
      </c>
      <c r="F181" s="28">
        <f>F176+F177+F178+F179+F180</f>
        <v>12886.900000000001</v>
      </c>
      <c r="G181" s="28"/>
      <c r="H181" s="28">
        <f>H176+H177+H178+H179+H180</f>
        <v>12886.900000000001</v>
      </c>
      <c r="I181" s="28"/>
      <c r="J181" s="28"/>
      <c r="K181" s="155"/>
    </row>
    <row r="182" spans="1:32" ht="23.25" customHeight="1" x14ac:dyDescent="0.2">
      <c r="A182" s="294" t="s">
        <v>234</v>
      </c>
      <c r="B182" s="295"/>
      <c r="C182" s="295"/>
      <c r="D182" s="296"/>
      <c r="E182" s="130"/>
      <c r="F182" s="101">
        <f>F175+F161+F154+F140+F147+F181</f>
        <v>2279328.6999999997</v>
      </c>
      <c r="G182" s="101">
        <f>G175+G161+G154+G140+G147+G181</f>
        <v>0</v>
      </c>
      <c r="H182" s="101">
        <f>H175+H161+H154+H140+H147+H181</f>
        <v>1925272.1999999997</v>
      </c>
      <c r="I182" s="101">
        <f>I175+I161+I154+I140+I147+I181</f>
        <v>354056.5</v>
      </c>
      <c r="J182" s="19"/>
      <c r="K182" s="44"/>
    </row>
    <row r="183" spans="1:32" ht="25.5" customHeight="1" thickBot="1" x14ac:dyDescent="0.25">
      <c r="A183" s="288" t="s">
        <v>239</v>
      </c>
      <c r="B183" s="195"/>
      <c r="C183" s="195"/>
      <c r="D183" s="195"/>
      <c r="E183" s="111"/>
      <c r="F183" s="112">
        <f>SUM(G183:I183)</f>
        <v>2627159.8999999994</v>
      </c>
      <c r="G183" s="112">
        <f>G182+G115+G105</f>
        <v>0</v>
      </c>
      <c r="H183" s="112">
        <f>H182+H105</f>
        <v>2114787.6999999997</v>
      </c>
      <c r="I183" s="112">
        <f>I182+I105</f>
        <v>512372.19999999995</v>
      </c>
      <c r="J183" s="113"/>
      <c r="K183" s="111"/>
    </row>
    <row r="184" spans="1:32" ht="18" x14ac:dyDescent="0.2">
      <c r="A184" s="289" t="s">
        <v>227</v>
      </c>
      <c r="B184" s="290"/>
      <c r="C184" s="290"/>
      <c r="D184" s="290"/>
      <c r="E184" s="290"/>
      <c r="F184" s="290"/>
      <c r="G184" s="290"/>
      <c r="H184" s="290"/>
      <c r="I184" s="290"/>
      <c r="J184" s="290"/>
      <c r="K184" s="290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7"/>
    </row>
    <row r="185" spans="1:32" ht="16.5" thickBot="1" x14ac:dyDescent="0.25">
      <c r="A185" s="225" t="s">
        <v>226</v>
      </c>
      <c r="B185" s="291"/>
      <c r="C185" s="291"/>
      <c r="D185" s="291"/>
      <c r="E185" s="291"/>
      <c r="F185" s="291"/>
      <c r="G185" s="291"/>
      <c r="H185" s="291"/>
      <c r="I185" s="291"/>
      <c r="J185" s="291"/>
      <c r="K185" s="291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9"/>
    </row>
    <row r="186" spans="1:32" ht="12.75" customHeight="1" x14ac:dyDescent="0.2">
      <c r="A186" s="190" t="s">
        <v>16</v>
      </c>
      <c r="B186" s="194" t="s">
        <v>258</v>
      </c>
      <c r="C186" s="196" t="s">
        <v>180</v>
      </c>
      <c r="D186" s="199" t="s">
        <v>147</v>
      </c>
      <c r="E186" s="133">
        <v>2015</v>
      </c>
      <c r="F186" s="14"/>
      <c r="G186" s="14"/>
      <c r="H186" s="14"/>
      <c r="I186" s="14"/>
      <c r="J186" s="14"/>
      <c r="K186" s="151" t="s">
        <v>178</v>
      </c>
    </row>
    <row r="187" spans="1:32" x14ac:dyDescent="0.2">
      <c r="A187" s="190"/>
      <c r="B187" s="195"/>
      <c r="C187" s="197"/>
      <c r="D187" s="200"/>
      <c r="E187" s="133">
        <v>2016</v>
      </c>
      <c r="F187" s="14"/>
      <c r="G187" s="14"/>
      <c r="H187" s="14"/>
      <c r="I187" s="14"/>
      <c r="J187" s="14"/>
      <c r="K187" s="154"/>
    </row>
    <row r="188" spans="1:32" x14ac:dyDescent="0.2">
      <c r="A188" s="190"/>
      <c r="B188" s="195"/>
      <c r="C188" s="197"/>
      <c r="D188" s="200"/>
      <c r="E188" s="133">
        <v>2017</v>
      </c>
      <c r="F188" s="14"/>
      <c r="G188" s="14"/>
      <c r="H188" s="14"/>
      <c r="I188" s="14"/>
      <c r="J188" s="14"/>
      <c r="K188" s="154"/>
    </row>
    <row r="189" spans="1:32" x14ac:dyDescent="0.2">
      <c r="A189" s="190"/>
      <c r="B189" s="195"/>
      <c r="C189" s="197"/>
      <c r="D189" s="200"/>
      <c r="E189" s="133">
        <v>2018</v>
      </c>
      <c r="F189" s="14"/>
      <c r="G189" s="14"/>
      <c r="H189" s="14"/>
      <c r="I189" s="14"/>
      <c r="J189" s="14"/>
      <c r="K189" s="154"/>
    </row>
    <row r="190" spans="1:32" x14ac:dyDescent="0.2">
      <c r="A190" s="190"/>
      <c r="B190" s="195"/>
      <c r="C190" s="197"/>
      <c r="D190" s="200"/>
      <c r="E190" s="133">
        <v>2019</v>
      </c>
      <c r="F190" s="14">
        <f>SUM(G190:J190)</f>
        <v>86090.9</v>
      </c>
      <c r="G190" s="14"/>
      <c r="H190" s="14">
        <v>85230</v>
      </c>
      <c r="I190" s="14">
        <v>860.9</v>
      </c>
      <c r="J190" s="14"/>
      <c r="K190" s="154"/>
    </row>
    <row r="191" spans="1:32" x14ac:dyDescent="0.2">
      <c r="A191" s="190"/>
      <c r="B191" s="195"/>
      <c r="C191" s="197"/>
      <c r="D191" s="200"/>
      <c r="E191" s="133">
        <v>2020</v>
      </c>
      <c r="F191" s="14">
        <f>SUM(G191:J191)</f>
        <v>86090.9</v>
      </c>
      <c r="G191" s="14"/>
      <c r="H191" s="14">
        <v>85230</v>
      </c>
      <c r="I191" s="14">
        <v>860.9</v>
      </c>
      <c r="J191" s="14"/>
      <c r="K191" s="154"/>
    </row>
    <row r="192" spans="1:32" ht="13.5" thickBot="1" x14ac:dyDescent="0.25">
      <c r="A192" s="190"/>
      <c r="B192" s="215"/>
      <c r="C192" s="198"/>
      <c r="D192" s="201"/>
      <c r="E192" s="24" t="s">
        <v>18</v>
      </c>
      <c r="F192" s="13">
        <f>SUM(F186:F191)</f>
        <v>172181.8</v>
      </c>
      <c r="G192" s="13">
        <f>SUM(G186:G191)</f>
        <v>0</v>
      </c>
      <c r="H192" s="13">
        <f>SUM(H186:H191)</f>
        <v>170460</v>
      </c>
      <c r="I192" s="13">
        <f>SUM(I186:I191)</f>
        <v>1721.8</v>
      </c>
      <c r="J192" s="14"/>
      <c r="K192" s="155"/>
    </row>
    <row r="193" spans="1:11" ht="12.75" customHeight="1" x14ac:dyDescent="0.2">
      <c r="A193" s="190" t="s">
        <v>19</v>
      </c>
      <c r="B193" s="194" t="s">
        <v>71</v>
      </c>
      <c r="C193" s="196" t="s">
        <v>72</v>
      </c>
      <c r="D193" s="199" t="s">
        <v>147</v>
      </c>
      <c r="E193" s="133">
        <v>2015</v>
      </c>
      <c r="F193" s="14">
        <f>SUM(G193:I193)</f>
        <v>11594</v>
      </c>
      <c r="G193" s="14"/>
      <c r="H193" s="14">
        <f>9200+2278</f>
        <v>11478</v>
      </c>
      <c r="I193" s="14">
        <f>92.9+23.1</f>
        <v>116</v>
      </c>
      <c r="J193" s="14"/>
      <c r="K193" s="151" t="s">
        <v>179</v>
      </c>
    </row>
    <row r="194" spans="1:11" x14ac:dyDescent="0.2">
      <c r="A194" s="190"/>
      <c r="B194" s="195"/>
      <c r="C194" s="197"/>
      <c r="D194" s="200"/>
      <c r="E194" s="133">
        <v>2016</v>
      </c>
      <c r="F194" s="14">
        <f>SUM(G194:I194)</f>
        <v>19791.599999999999</v>
      </c>
      <c r="G194" s="14"/>
      <c r="H194" s="14">
        <v>19593.599999999999</v>
      </c>
      <c r="I194" s="14">
        <v>198</v>
      </c>
      <c r="J194" s="14"/>
      <c r="K194" s="154"/>
    </row>
    <row r="195" spans="1:11" x14ac:dyDescent="0.2">
      <c r="A195" s="190"/>
      <c r="B195" s="195"/>
      <c r="C195" s="197"/>
      <c r="D195" s="200"/>
      <c r="E195" s="133">
        <v>2017</v>
      </c>
      <c r="F195" s="14"/>
      <c r="G195" s="14"/>
      <c r="H195" s="14"/>
      <c r="I195" s="14"/>
      <c r="J195" s="14"/>
      <c r="K195" s="154"/>
    </row>
    <row r="196" spans="1:11" x14ac:dyDescent="0.2">
      <c r="A196" s="190"/>
      <c r="B196" s="195"/>
      <c r="C196" s="197"/>
      <c r="D196" s="200"/>
      <c r="E196" s="133">
        <v>2018</v>
      </c>
      <c r="F196" s="14"/>
      <c r="G196" s="14"/>
      <c r="H196" s="14"/>
      <c r="I196" s="14"/>
      <c r="J196" s="14"/>
      <c r="K196" s="154"/>
    </row>
    <row r="197" spans="1:11" x14ac:dyDescent="0.2">
      <c r="A197" s="190"/>
      <c r="B197" s="195"/>
      <c r="C197" s="197"/>
      <c r="D197" s="200"/>
      <c r="E197" s="133">
        <v>2019</v>
      </c>
      <c r="F197" s="14"/>
      <c r="G197" s="14"/>
      <c r="H197" s="14"/>
      <c r="I197" s="14"/>
      <c r="J197" s="14"/>
      <c r="K197" s="154"/>
    </row>
    <row r="198" spans="1:11" x14ac:dyDescent="0.2">
      <c r="A198" s="190"/>
      <c r="B198" s="195"/>
      <c r="C198" s="197"/>
      <c r="D198" s="200"/>
      <c r="E198" s="133">
        <v>2020</v>
      </c>
      <c r="F198" s="13"/>
      <c r="G198" s="13"/>
      <c r="H198" s="13"/>
      <c r="I198" s="13"/>
      <c r="J198" s="14"/>
      <c r="K198" s="154"/>
    </row>
    <row r="199" spans="1:11" ht="13.5" thickBot="1" x14ac:dyDescent="0.25">
      <c r="A199" s="190"/>
      <c r="B199" s="195"/>
      <c r="C199" s="198"/>
      <c r="D199" s="201"/>
      <c r="E199" s="24" t="s">
        <v>18</v>
      </c>
      <c r="F199" s="13">
        <f>SUM(F193:F198)</f>
        <v>31385.599999999999</v>
      </c>
      <c r="G199" s="13"/>
      <c r="H199" s="13">
        <f>SUM(H193:H198)</f>
        <v>31071.599999999999</v>
      </c>
      <c r="I199" s="13">
        <f>SUM(I193:I198)</f>
        <v>314</v>
      </c>
      <c r="J199" s="14"/>
      <c r="K199" s="155"/>
    </row>
    <row r="200" spans="1:11" x14ac:dyDescent="0.2">
      <c r="A200" s="190" t="s">
        <v>73</v>
      </c>
      <c r="B200" s="194" t="s">
        <v>151</v>
      </c>
      <c r="C200" s="196" t="s">
        <v>181</v>
      </c>
      <c r="D200" s="199" t="s">
        <v>147</v>
      </c>
      <c r="E200" s="133">
        <v>2015</v>
      </c>
      <c r="F200" s="14">
        <f>SUM(G200:I200)</f>
        <v>0</v>
      </c>
      <c r="G200" s="14"/>
      <c r="H200" s="14">
        <f>19500-19500</f>
        <v>0</v>
      </c>
      <c r="I200" s="14">
        <f>197-197</f>
        <v>0</v>
      </c>
      <c r="J200" s="14"/>
      <c r="K200" s="151" t="s">
        <v>219</v>
      </c>
    </row>
    <row r="201" spans="1:11" x14ac:dyDescent="0.2">
      <c r="A201" s="190"/>
      <c r="B201" s="195"/>
      <c r="C201" s="197"/>
      <c r="D201" s="200"/>
      <c r="E201" s="133">
        <v>2016</v>
      </c>
      <c r="F201" s="14">
        <f>SUM(G201:I201)</f>
        <v>0</v>
      </c>
      <c r="G201" s="14"/>
      <c r="H201" s="14">
        <v>0</v>
      </c>
      <c r="I201" s="14">
        <v>0</v>
      </c>
      <c r="J201" s="14"/>
      <c r="K201" s="154"/>
    </row>
    <row r="202" spans="1:11" x14ac:dyDescent="0.2">
      <c r="A202" s="190"/>
      <c r="B202" s="195"/>
      <c r="C202" s="197"/>
      <c r="D202" s="200"/>
      <c r="E202" s="133">
        <v>2017</v>
      </c>
      <c r="F202" s="14">
        <f>SUM(G202:I202)</f>
        <v>0</v>
      </c>
      <c r="G202" s="14"/>
      <c r="H202" s="14">
        <v>0</v>
      </c>
      <c r="I202" s="14">
        <v>0</v>
      </c>
      <c r="J202" s="14"/>
      <c r="K202" s="154"/>
    </row>
    <row r="203" spans="1:11" x14ac:dyDescent="0.2">
      <c r="A203" s="190"/>
      <c r="B203" s="195"/>
      <c r="C203" s="197"/>
      <c r="D203" s="200"/>
      <c r="E203" s="133">
        <v>2018</v>
      </c>
      <c r="F203" s="14">
        <f>SUM(G203:I203)</f>
        <v>0</v>
      </c>
      <c r="G203" s="14"/>
      <c r="H203" s="14">
        <v>0</v>
      </c>
      <c r="I203" s="14">
        <v>0</v>
      </c>
      <c r="J203" s="14"/>
      <c r="K203" s="154"/>
    </row>
    <row r="204" spans="1:11" ht="27.75" customHeight="1" thickBot="1" x14ac:dyDescent="0.25">
      <c r="A204" s="190"/>
      <c r="B204" s="195"/>
      <c r="C204" s="198"/>
      <c r="D204" s="201"/>
      <c r="E204" s="24" t="s">
        <v>18</v>
      </c>
      <c r="F204" s="13">
        <f>SUM(F200:F201)</f>
        <v>0</v>
      </c>
      <c r="G204" s="13"/>
      <c r="H204" s="13">
        <f>SUM(H200:H201)</f>
        <v>0</v>
      </c>
      <c r="I204" s="13">
        <f>SUM(I200:I201)</f>
        <v>0</v>
      </c>
      <c r="J204" s="14"/>
      <c r="K204" s="155"/>
    </row>
    <row r="205" spans="1:11" ht="15" x14ac:dyDescent="0.2">
      <c r="A205" s="50" t="s">
        <v>152</v>
      </c>
      <c r="B205" s="129"/>
      <c r="C205" s="42"/>
      <c r="D205" s="51"/>
      <c r="E205" s="24"/>
      <c r="F205" s="3"/>
      <c r="G205" s="3"/>
      <c r="H205" s="3"/>
      <c r="I205" s="3"/>
      <c r="J205" s="2"/>
      <c r="K205" s="133"/>
    </row>
    <row r="206" spans="1:11" x14ac:dyDescent="0.2">
      <c r="A206" s="190" t="s">
        <v>74</v>
      </c>
      <c r="B206" s="191" t="s">
        <v>284</v>
      </c>
      <c r="C206" s="167" t="s">
        <v>75</v>
      </c>
      <c r="D206" s="151" t="s">
        <v>257</v>
      </c>
      <c r="E206" s="133">
        <v>2015</v>
      </c>
      <c r="F206" s="14">
        <f t="shared" ref="F206:F211" si="6">SUM(G206:I206)</f>
        <v>11247</v>
      </c>
      <c r="G206" s="14"/>
      <c r="H206" s="14">
        <v>11106</v>
      </c>
      <c r="I206" s="14">
        <f>176.6-5-30.6</f>
        <v>141</v>
      </c>
      <c r="J206" s="14"/>
      <c r="K206" s="151" t="s">
        <v>182</v>
      </c>
    </row>
    <row r="207" spans="1:11" x14ac:dyDescent="0.2">
      <c r="A207" s="190"/>
      <c r="B207" s="192"/>
      <c r="C207" s="181"/>
      <c r="D207" s="154"/>
      <c r="E207" s="133">
        <v>2016</v>
      </c>
      <c r="F207" s="14">
        <f t="shared" si="6"/>
        <v>10557.399999999998</v>
      </c>
      <c r="G207" s="14"/>
      <c r="H207" s="14"/>
      <c r="I207" s="14">
        <f>329.1+8010.2+741.4+6855.2-5378.5</f>
        <v>10557.399999999998</v>
      </c>
      <c r="J207" s="14"/>
      <c r="K207" s="154"/>
    </row>
    <row r="208" spans="1:11" x14ac:dyDescent="0.2">
      <c r="A208" s="190"/>
      <c r="B208" s="192"/>
      <c r="C208" s="181"/>
      <c r="D208" s="154"/>
      <c r="E208" s="133">
        <v>2017</v>
      </c>
      <c r="F208" s="14">
        <f t="shared" si="6"/>
        <v>0</v>
      </c>
      <c r="G208" s="14"/>
      <c r="H208" s="14">
        <v>0</v>
      </c>
      <c r="I208" s="14">
        <v>0</v>
      </c>
      <c r="J208" s="14"/>
      <c r="K208" s="154"/>
    </row>
    <row r="209" spans="1:33" x14ac:dyDescent="0.2">
      <c r="A209" s="190"/>
      <c r="B209" s="192"/>
      <c r="C209" s="181"/>
      <c r="D209" s="154"/>
      <c r="E209" s="133">
        <v>2018</v>
      </c>
      <c r="F209" s="14">
        <f t="shared" si="6"/>
        <v>5974</v>
      </c>
      <c r="G209" s="14"/>
      <c r="H209" s="14">
        <v>5675</v>
      </c>
      <c r="I209" s="14">
        <v>299</v>
      </c>
      <c r="J209" s="14"/>
      <c r="K209" s="154"/>
    </row>
    <row r="210" spans="1:33" x14ac:dyDescent="0.2">
      <c r="A210" s="190"/>
      <c r="B210" s="192"/>
      <c r="C210" s="181"/>
      <c r="D210" s="154"/>
      <c r="E210" s="133">
        <v>2019</v>
      </c>
      <c r="F210" s="14">
        <f t="shared" si="6"/>
        <v>24921</v>
      </c>
      <c r="G210" s="14"/>
      <c r="H210" s="14">
        <v>23675</v>
      </c>
      <c r="I210" s="14">
        <v>1246</v>
      </c>
      <c r="J210" s="14"/>
      <c r="K210" s="154"/>
    </row>
    <row r="211" spans="1:33" x14ac:dyDescent="0.2">
      <c r="A211" s="190"/>
      <c r="B211" s="192"/>
      <c r="C211" s="181"/>
      <c r="D211" s="154"/>
      <c r="E211" s="133">
        <v>2020</v>
      </c>
      <c r="F211" s="14">
        <f t="shared" si="6"/>
        <v>17771.5</v>
      </c>
      <c r="G211" s="14"/>
      <c r="H211" s="14">
        <v>16882.5</v>
      </c>
      <c r="I211" s="14">
        <f>615+274</f>
        <v>889</v>
      </c>
      <c r="J211" s="14"/>
      <c r="K211" s="154"/>
    </row>
    <row r="212" spans="1:33" ht="60" customHeight="1" x14ac:dyDescent="0.2">
      <c r="A212" s="203"/>
      <c r="B212" s="193"/>
      <c r="C212" s="182"/>
      <c r="D212" s="155"/>
      <c r="E212" s="33" t="s">
        <v>18</v>
      </c>
      <c r="F212" s="52">
        <f>SUM(F206:F211)</f>
        <v>70470.899999999994</v>
      </c>
      <c r="G212" s="52">
        <f>SUM(G206:G211)</f>
        <v>0</v>
      </c>
      <c r="H212" s="52">
        <f>SUM(H206:H211)</f>
        <v>57338.5</v>
      </c>
      <c r="I212" s="52">
        <f>SUM(I206:I211)</f>
        <v>13132.399999999998</v>
      </c>
      <c r="J212" s="28"/>
      <c r="K212" s="15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</row>
    <row r="213" spans="1:33" x14ac:dyDescent="0.2">
      <c r="A213" s="204" t="s">
        <v>285</v>
      </c>
      <c r="B213" s="191" t="s">
        <v>287</v>
      </c>
      <c r="C213" s="167" t="s">
        <v>286</v>
      </c>
      <c r="D213" s="151" t="s">
        <v>257</v>
      </c>
      <c r="E213" s="133">
        <v>2016</v>
      </c>
      <c r="F213" s="14">
        <f t="shared" ref="F213:F214" si="7">SUM(G213:I213)</f>
        <v>63958.799999999996</v>
      </c>
      <c r="G213" s="14"/>
      <c r="H213" s="14">
        <v>63319.199999999997</v>
      </c>
      <c r="I213" s="14">
        <v>639.6</v>
      </c>
      <c r="J213" s="14"/>
      <c r="K213" s="151" t="s">
        <v>182</v>
      </c>
    </row>
    <row r="214" spans="1:33" x14ac:dyDescent="0.2">
      <c r="A214" s="205"/>
      <c r="B214" s="192"/>
      <c r="C214" s="181"/>
      <c r="D214" s="154"/>
      <c r="E214" s="133">
        <v>2017</v>
      </c>
      <c r="F214" s="14">
        <f t="shared" si="7"/>
        <v>0</v>
      </c>
      <c r="G214" s="14"/>
      <c r="H214" s="14">
        <f>53000-53000</f>
        <v>0</v>
      </c>
      <c r="I214" s="14">
        <f>1600-1600</f>
        <v>0</v>
      </c>
      <c r="J214" s="14"/>
      <c r="K214" s="154"/>
    </row>
    <row r="215" spans="1:33" ht="109.5" customHeight="1" x14ac:dyDescent="0.2">
      <c r="A215" s="206"/>
      <c r="B215" s="193"/>
      <c r="C215" s="182"/>
      <c r="D215" s="155"/>
      <c r="E215" s="33" t="s">
        <v>18</v>
      </c>
      <c r="F215" s="52">
        <f>SUM(F213:F214)</f>
        <v>63958.799999999996</v>
      </c>
      <c r="G215" s="52">
        <f>SUM(G213:G214)</f>
        <v>0</v>
      </c>
      <c r="H215" s="52">
        <f>SUM(H213:H214)</f>
        <v>63319.199999999997</v>
      </c>
      <c r="I215" s="52">
        <f>SUM(I213:I214)</f>
        <v>639.6</v>
      </c>
      <c r="J215" s="28"/>
      <c r="K215" s="15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</row>
    <row r="216" spans="1:33" ht="14.25" customHeight="1" x14ac:dyDescent="0.2">
      <c r="A216" s="169" t="s">
        <v>255</v>
      </c>
      <c r="B216" s="202"/>
      <c r="C216" s="202"/>
      <c r="D216" s="202"/>
      <c r="E216" s="202"/>
      <c r="F216" s="202"/>
      <c r="G216" s="202"/>
      <c r="H216" s="202"/>
      <c r="I216" s="202"/>
      <c r="J216" s="202"/>
      <c r="K216" s="202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  <c r="AA216" s="43"/>
      <c r="AB216" s="43"/>
      <c r="AC216" s="43"/>
      <c r="AD216" s="43"/>
      <c r="AE216" s="43"/>
      <c r="AF216" s="43"/>
      <c r="AG216" s="35"/>
    </row>
    <row r="217" spans="1:33" x14ac:dyDescent="0.2">
      <c r="A217" s="190" t="s">
        <v>146</v>
      </c>
      <c r="B217" s="164" t="s">
        <v>183</v>
      </c>
      <c r="C217" s="167" t="s">
        <v>75</v>
      </c>
      <c r="D217" s="151" t="s">
        <v>257</v>
      </c>
      <c r="E217" s="133">
        <v>2015</v>
      </c>
      <c r="F217" s="14">
        <f>SUM(G217:I217)</f>
        <v>3333.3</v>
      </c>
      <c r="G217" s="14"/>
      <c r="H217" s="14">
        <v>3300</v>
      </c>
      <c r="I217" s="14">
        <v>33.299999999999997</v>
      </c>
      <c r="J217" s="14"/>
      <c r="K217" s="151" t="s">
        <v>182</v>
      </c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</row>
    <row r="218" spans="1:33" x14ac:dyDescent="0.2">
      <c r="A218" s="190"/>
      <c r="B218" s="165"/>
      <c r="C218" s="181"/>
      <c r="D218" s="154"/>
      <c r="E218" s="133">
        <v>2016</v>
      </c>
      <c r="F218" s="14">
        <f>SUM(G218:I218)</f>
        <v>369.7</v>
      </c>
      <c r="G218" s="14"/>
      <c r="H218" s="14"/>
      <c r="I218" s="14">
        <v>369.7</v>
      </c>
      <c r="J218" s="14"/>
      <c r="K218" s="154"/>
    </row>
    <row r="219" spans="1:33" x14ac:dyDescent="0.2">
      <c r="A219" s="190"/>
      <c r="B219" s="165"/>
      <c r="C219" s="181"/>
      <c r="D219" s="154"/>
      <c r="E219" s="133">
        <v>2017</v>
      </c>
      <c r="F219" s="14"/>
      <c r="G219" s="14"/>
      <c r="H219" s="14"/>
      <c r="I219" s="14"/>
      <c r="J219" s="14"/>
      <c r="K219" s="154"/>
    </row>
    <row r="220" spans="1:33" x14ac:dyDescent="0.2">
      <c r="A220" s="190"/>
      <c r="B220" s="165"/>
      <c r="C220" s="181"/>
      <c r="D220" s="154"/>
      <c r="E220" s="133">
        <v>2018</v>
      </c>
      <c r="F220" s="14"/>
      <c r="G220" s="14"/>
      <c r="H220" s="14"/>
      <c r="I220" s="14"/>
      <c r="J220" s="14"/>
      <c r="K220" s="154"/>
    </row>
    <row r="221" spans="1:33" x14ac:dyDescent="0.2">
      <c r="A221" s="190"/>
      <c r="B221" s="165"/>
      <c r="C221" s="181"/>
      <c r="D221" s="154"/>
      <c r="E221" s="133">
        <v>2019</v>
      </c>
      <c r="F221" s="14"/>
      <c r="G221" s="14"/>
      <c r="H221" s="14"/>
      <c r="I221" s="14"/>
      <c r="J221" s="14"/>
      <c r="K221" s="154"/>
    </row>
    <row r="222" spans="1:33" x14ac:dyDescent="0.2">
      <c r="A222" s="190"/>
      <c r="B222" s="165"/>
      <c r="C222" s="181"/>
      <c r="D222" s="154"/>
      <c r="E222" s="133">
        <v>2020</v>
      </c>
      <c r="F222" s="14"/>
      <c r="G222" s="14"/>
      <c r="H222" s="14"/>
      <c r="I222" s="14"/>
      <c r="J222" s="14"/>
      <c r="K222" s="154"/>
    </row>
    <row r="223" spans="1:33" ht="60.75" customHeight="1" x14ac:dyDescent="0.2">
      <c r="A223" s="190"/>
      <c r="B223" s="165"/>
      <c r="C223" s="182"/>
      <c r="D223" s="155"/>
      <c r="E223" s="24" t="s">
        <v>18</v>
      </c>
      <c r="F223" s="13">
        <f>SUM(F217:F222)</f>
        <v>3703</v>
      </c>
      <c r="G223" s="13"/>
      <c r="H223" s="13">
        <f>SUM(H217:H222)</f>
        <v>3300</v>
      </c>
      <c r="I223" s="13">
        <f>SUM(I217:I222)</f>
        <v>403</v>
      </c>
      <c r="J223" s="14"/>
      <c r="K223" s="155"/>
    </row>
    <row r="224" spans="1:33" ht="15" customHeight="1" x14ac:dyDescent="0.2">
      <c r="A224" s="411" t="s">
        <v>27</v>
      </c>
      <c r="B224" s="183" t="s">
        <v>161</v>
      </c>
      <c r="C224" s="167" t="s">
        <v>256</v>
      </c>
      <c r="D224" s="151" t="s">
        <v>257</v>
      </c>
      <c r="E224" s="133">
        <v>2016</v>
      </c>
      <c r="F224" s="52">
        <f>G224+H224+I224</f>
        <v>10647.199999999999</v>
      </c>
      <c r="G224" s="52"/>
      <c r="H224" s="52"/>
      <c r="I224" s="28">
        <f>5500+3899.9+1247.3</f>
        <v>10647.199999999999</v>
      </c>
      <c r="J224" s="28"/>
      <c r="K224" s="151" t="s">
        <v>176</v>
      </c>
    </row>
    <row r="225" spans="1:36" ht="13.5" customHeight="1" x14ac:dyDescent="0.2">
      <c r="A225" s="340"/>
      <c r="B225" s="184"/>
      <c r="C225" s="181"/>
      <c r="D225" s="154"/>
      <c r="E225" s="133">
        <v>2017</v>
      </c>
      <c r="F225" s="52"/>
      <c r="G225" s="52"/>
      <c r="H225" s="52"/>
      <c r="I225" s="52"/>
      <c r="J225" s="28"/>
      <c r="K225" s="154"/>
    </row>
    <row r="226" spans="1:36" ht="18.75" customHeight="1" x14ac:dyDescent="0.2">
      <c r="A226" s="340"/>
      <c r="B226" s="184"/>
      <c r="C226" s="181"/>
      <c r="D226" s="154"/>
      <c r="E226" s="133">
        <v>2018</v>
      </c>
      <c r="F226" s="52"/>
      <c r="G226" s="52"/>
      <c r="H226" s="52"/>
      <c r="I226" s="52"/>
      <c r="J226" s="28"/>
      <c r="K226" s="154"/>
    </row>
    <row r="227" spans="1:36" ht="16.5" customHeight="1" x14ac:dyDescent="0.2">
      <c r="A227" s="340"/>
      <c r="B227" s="184"/>
      <c r="C227" s="181"/>
      <c r="D227" s="154"/>
      <c r="E227" s="133">
        <v>2019</v>
      </c>
      <c r="F227" s="52"/>
      <c r="G227" s="52"/>
      <c r="H227" s="52"/>
      <c r="I227" s="52"/>
      <c r="J227" s="28"/>
      <c r="K227" s="154"/>
    </row>
    <row r="228" spans="1:36" ht="15.75" customHeight="1" x14ac:dyDescent="0.2">
      <c r="A228" s="340"/>
      <c r="B228" s="184"/>
      <c r="C228" s="181"/>
      <c r="D228" s="154"/>
      <c r="E228" s="133">
        <v>2020</v>
      </c>
      <c r="F228" s="52"/>
      <c r="G228" s="52"/>
      <c r="H228" s="52"/>
      <c r="I228" s="52"/>
      <c r="J228" s="28"/>
      <c r="K228" s="154"/>
    </row>
    <row r="229" spans="1:36" ht="16.5" customHeight="1" x14ac:dyDescent="0.2">
      <c r="A229" s="341"/>
      <c r="B229" s="185"/>
      <c r="C229" s="182"/>
      <c r="D229" s="155"/>
      <c r="E229" s="33" t="s">
        <v>18</v>
      </c>
      <c r="F229" s="52">
        <f>SUM(F224:F228)</f>
        <v>10647.199999999999</v>
      </c>
      <c r="G229" s="52"/>
      <c r="H229" s="52">
        <v>0</v>
      </c>
      <c r="I229" s="52">
        <f>SUM(I224:I228)</f>
        <v>10647.199999999999</v>
      </c>
      <c r="J229" s="28"/>
      <c r="K229" s="155"/>
    </row>
    <row r="230" spans="1:36" ht="15" customHeight="1" x14ac:dyDescent="0.2">
      <c r="A230" s="169" t="s">
        <v>223</v>
      </c>
      <c r="B230" s="170"/>
      <c r="C230" s="170"/>
      <c r="D230" s="170"/>
      <c r="E230" s="170"/>
      <c r="F230" s="170"/>
      <c r="G230" s="170"/>
      <c r="H230" s="170"/>
      <c r="I230" s="170"/>
      <c r="J230" s="170"/>
      <c r="K230" s="170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53"/>
      <c r="AF230" s="53"/>
    </row>
    <row r="231" spans="1:36" x14ac:dyDescent="0.2">
      <c r="A231" s="171" t="s">
        <v>165</v>
      </c>
      <c r="B231" s="164" t="s">
        <v>76</v>
      </c>
      <c r="C231" s="148" t="s">
        <v>75</v>
      </c>
      <c r="D231" s="172" t="s">
        <v>257</v>
      </c>
      <c r="E231" s="133">
        <v>2015</v>
      </c>
      <c r="F231" s="14">
        <f t="shared" ref="F231:F236" si="8">SUM(G231:I231)</f>
        <v>28178.2</v>
      </c>
      <c r="G231" s="14"/>
      <c r="H231" s="14"/>
      <c r="I231" s="14">
        <f>27846.2+850-518</f>
        <v>28178.2</v>
      </c>
      <c r="J231" s="14"/>
      <c r="K231" s="151" t="s">
        <v>174</v>
      </c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</row>
    <row r="232" spans="1:36" x14ac:dyDescent="0.2">
      <c r="A232" s="171"/>
      <c r="B232" s="165"/>
      <c r="C232" s="148"/>
      <c r="D232" s="172"/>
      <c r="E232" s="133">
        <v>2016</v>
      </c>
      <c r="F232" s="14">
        <f t="shared" si="8"/>
        <v>28473.8</v>
      </c>
      <c r="G232" s="14"/>
      <c r="H232" s="14"/>
      <c r="I232" s="14">
        <f>29107-180-453.2</f>
        <v>28473.8</v>
      </c>
      <c r="J232" s="14"/>
      <c r="K232" s="154"/>
      <c r="L232" s="54">
        <f>H211+H191</f>
        <v>102112.5</v>
      </c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</row>
    <row r="233" spans="1:36" x14ac:dyDescent="0.2">
      <c r="A233" s="171"/>
      <c r="B233" s="165"/>
      <c r="C233" s="148"/>
      <c r="D233" s="172"/>
      <c r="E233" s="133">
        <v>2017</v>
      </c>
      <c r="F233" s="14">
        <f t="shared" si="8"/>
        <v>30044.9</v>
      </c>
      <c r="G233" s="14"/>
      <c r="H233" s="14"/>
      <c r="I233" s="14">
        <v>30044.9</v>
      </c>
      <c r="J233" s="14"/>
      <c r="K233" s="154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</row>
    <row r="234" spans="1:36" x14ac:dyDescent="0.2">
      <c r="A234" s="171"/>
      <c r="B234" s="165"/>
      <c r="C234" s="148"/>
      <c r="D234" s="172"/>
      <c r="E234" s="133">
        <v>2018</v>
      </c>
      <c r="F234" s="14">
        <f t="shared" si="8"/>
        <v>29807.5</v>
      </c>
      <c r="G234" s="14"/>
      <c r="H234" s="14"/>
      <c r="I234" s="14">
        <v>29807.5</v>
      </c>
      <c r="J234" s="14"/>
      <c r="K234" s="154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</row>
    <row r="235" spans="1:36" x14ac:dyDescent="0.2">
      <c r="A235" s="171"/>
      <c r="B235" s="165"/>
      <c r="C235" s="148"/>
      <c r="D235" s="172"/>
      <c r="E235" s="133">
        <v>2019</v>
      </c>
      <c r="F235" s="14">
        <f t="shared" si="8"/>
        <v>29360.400000000001</v>
      </c>
      <c r="G235" s="14"/>
      <c r="H235" s="14"/>
      <c r="I235" s="14">
        <v>29360.400000000001</v>
      </c>
      <c r="J235" s="14"/>
      <c r="K235" s="154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</row>
    <row r="236" spans="1:36" x14ac:dyDescent="0.2">
      <c r="A236" s="171"/>
      <c r="B236" s="165"/>
      <c r="C236" s="148"/>
      <c r="D236" s="172"/>
      <c r="E236" s="133">
        <v>2020</v>
      </c>
      <c r="F236" s="14">
        <f t="shared" si="8"/>
        <v>28083.200000000001</v>
      </c>
      <c r="G236" s="14"/>
      <c r="H236" s="14"/>
      <c r="I236" s="14">
        <v>28083.200000000001</v>
      </c>
      <c r="J236" s="14"/>
      <c r="K236" s="154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</row>
    <row r="237" spans="1:36" ht="23.25" customHeight="1" x14ac:dyDescent="0.2">
      <c r="A237" s="171"/>
      <c r="B237" s="165"/>
      <c r="C237" s="148"/>
      <c r="D237" s="172"/>
      <c r="E237" s="33" t="s">
        <v>18</v>
      </c>
      <c r="F237" s="52">
        <f>SUM(F231:F236)</f>
        <v>173948</v>
      </c>
      <c r="G237" s="52"/>
      <c r="H237" s="52"/>
      <c r="I237" s="52">
        <f>SUM(I231:I236)</f>
        <v>173948</v>
      </c>
      <c r="J237" s="28"/>
      <c r="K237" s="155"/>
    </row>
    <row r="238" spans="1:36" ht="16.5" customHeight="1" x14ac:dyDescent="0.2">
      <c r="A238" s="173" t="s">
        <v>259</v>
      </c>
      <c r="B238" s="174"/>
      <c r="C238" s="174"/>
      <c r="D238" s="174"/>
      <c r="E238" s="33" t="s">
        <v>18</v>
      </c>
      <c r="F238" s="17">
        <f>F237+F223+F212+F199+F192+F229+F215</f>
        <v>526295.30000000005</v>
      </c>
      <c r="G238" s="19"/>
      <c r="H238" s="17">
        <f>H223+H212+H199+H192+H229+H215</f>
        <v>325489.3</v>
      </c>
      <c r="I238" s="17">
        <f>I237+I223+I212+I199+I192+I229+I215</f>
        <v>200806</v>
      </c>
      <c r="J238" s="45"/>
      <c r="K238" s="44"/>
    </row>
    <row r="239" spans="1:36" ht="18.75" customHeight="1" x14ac:dyDescent="0.25">
      <c r="A239" s="175" t="s">
        <v>77</v>
      </c>
      <c r="B239" s="175"/>
      <c r="C239" s="175"/>
      <c r="D239" s="175"/>
      <c r="E239" s="175"/>
      <c r="F239" s="175"/>
      <c r="G239" s="175"/>
      <c r="H239" s="175"/>
      <c r="I239" s="175"/>
      <c r="J239" s="175"/>
      <c r="K239" s="175"/>
    </row>
    <row r="240" spans="1:36" ht="31.5" customHeight="1" x14ac:dyDescent="0.2">
      <c r="A240" s="176" t="s">
        <v>78</v>
      </c>
      <c r="B240" s="177"/>
      <c r="C240" s="177"/>
      <c r="D240" s="177"/>
      <c r="E240" s="177"/>
      <c r="F240" s="177"/>
      <c r="G240" s="177"/>
      <c r="H240" s="177"/>
      <c r="I240" s="177"/>
      <c r="J240" s="177"/>
      <c r="K240" s="177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  <c r="AC240" s="55"/>
      <c r="AD240" s="55"/>
      <c r="AE240" s="55"/>
      <c r="AF240" s="55"/>
      <c r="AG240" s="35"/>
      <c r="AH240" s="35"/>
      <c r="AI240" s="35"/>
      <c r="AJ240" s="35"/>
    </row>
    <row r="241" spans="1:32" x14ac:dyDescent="0.2">
      <c r="A241" s="171" t="s">
        <v>79</v>
      </c>
      <c r="B241" s="178" t="s">
        <v>276</v>
      </c>
      <c r="C241" s="167" t="s">
        <v>75</v>
      </c>
      <c r="D241" s="151" t="s">
        <v>257</v>
      </c>
      <c r="E241" s="133">
        <v>2015</v>
      </c>
      <c r="F241" s="14">
        <f t="shared" ref="F241:F246" si="9">SUM(G241:J241)</f>
        <v>471461.89999999997</v>
      </c>
      <c r="G241" s="14"/>
      <c r="H241" s="14">
        <f>457488.8+13973.1</f>
        <v>471461.89999999997</v>
      </c>
      <c r="I241" s="14"/>
      <c r="J241" s="14"/>
      <c r="K241" s="151" t="s">
        <v>184</v>
      </c>
    </row>
    <row r="242" spans="1:32" x14ac:dyDescent="0.2">
      <c r="A242" s="171"/>
      <c r="B242" s="179"/>
      <c r="C242" s="181"/>
      <c r="D242" s="154"/>
      <c r="E242" s="133">
        <v>2016</v>
      </c>
      <c r="F242" s="14">
        <f t="shared" si="9"/>
        <v>485636.2</v>
      </c>
      <c r="G242" s="14"/>
      <c r="H242" s="14">
        <f>503346-17709.8</f>
        <v>485636.2</v>
      </c>
      <c r="I242" s="14"/>
      <c r="J242" s="14"/>
      <c r="K242" s="154"/>
    </row>
    <row r="243" spans="1:32" x14ac:dyDescent="0.2">
      <c r="A243" s="171"/>
      <c r="B243" s="179"/>
      <c r="C243" s="181"/>
      <c r="D243" s="154"/>
      <c r="E243" s="133">
        <v>2017</v>
      </c>
      <c r="F243" s="14">
        <f t="shared" si="9"/>
        <v>481675.6</v>
      </c>
      <c r="G243" s="14"/>
      <c r="H243" s="14">
        <v>481675.6</v>
      </c>
      <c r="I243" s="14"/>
      <c r="J243" s="14"/>
      <c r="K243" s="154"/>
    </row>
    <row r="244" spans="1:32" x14ac:dyDescent="0.2">
      <c r="A244" s="171"/>
      <c r="B244" s="179"/>
      <c r="C244" s="181"/>
      <c r="D244" s="154"/>
      <c r="E244" s="133">
        <v>2018</v>
      </c>
      <c r="F244" s="14">
        <f t="shared" si="9"/>
        <v>731140</v>
      </c>
      <c r="G244" s="14"/>
      <c r="H244" s="14">
        <v>731140</v>
      </c>
      <c r="I244" s="14"/>
      <c r="J244" s="14"/>
      <c r="K244" s="154"/>
    </row>
    <row r="245" spans="1:32" x14ac:dyDescent="0.2">
      <c r="A245" s="171"/>
      <c r="B245" s="179"/>
      <c r="C245" s="181"/>
      <c r="D245" s="154"/>
      <c r="E245" s="133">
        <v>2019</v>
      </c>
      <c r="F245" s="14">
        <f t="shared" si="9"/>
        <v>773900</v>
      </c>
      <c r="G245" s="14"/>
      <c r="H245" s="14">
        <v>773900</v>
      </c>
      <c r="I245" s="14"/>
      <c r="J245" s="14"/>
      <c r="K245" s="154"/>
    </row>
    <row r="246" spans="1:32" x14ac:dyDescent="0.2">
      <c r="A246" s="171"/>
      <c r="B246" s="179"/>
      <c r="C246" s="181"/>
      <c r="D246" s="154"/>
      <c r="E246" s="133">
        <v>2020</v>
      </c>
      <c r="F246" s="14">
        <f t="shared" si="9"/>
        <v>823140</v>
      </c>
      <c r="G246" s="14"/>
      <c r="H246" s="14">
        <v>823140</v>
      </c>
      <c r="I246" s="14"/>
      <c r="J246" s="14"/>
      <c r="K246" s="154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F246" s="35"/>
    </row>
    <row r="247" spans="1:32" ht="37.5" customHeight="1" x14ac:dyDescent="0.2">
      <c r="A247" s="171"/>
      <c r="B247" s="180"/>
      <c r="C247" s="182"/>
      <c r="D247" s="154"/>
      <c r="E247" s="24" t="s">
        <v>18</v>
      </c>
      <c r="F247" s="13">
        <f>SUM(F241:F246)</f>
        <v>3766953.7</v>
      </c>
      <c r="G247" s="13"/>
      <c r="H247" s="13">
        <f>SUM(H241:H246)</f>
        <v>3766953.7</v>
      </c>
      <c r="I247" s="13"/>
      <c r="J247" s="13"/>
      <c r="K247" s="15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F247" s="35"/>
    </row>
    <row r="248" spans="1:32" x14ac:dyDescent="0.2">
      <c r="A248" s="169" t="s">
        <v>80</v>
      </c>
      <c r="B248" s="186"/>
      <c r="C248" s="186"/>
      <c r="D248" s="186"/>
      <c r="E248" s="186"/>
      <c r="F248" s="186"/>
      <c r="G248" s="186"/>
      <c r="H248" s="186"/>
      <c r="I248" s="186"/>
      <c r="J248" s="186"/>
      <c r="K248" s="18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  <c r="AB248" s="56"/>
      <c r="AC248" s="56"/>
      <c r="AD248" s="56"/>
      <c r="AE248" s="56"/>
      <c r="AF248" s="56"/>
    </row>
    <row r="249" spans="1:32" x14ac:dyDescent="0.2">
      <c r="A249" s="161" t="s">
        <v>81</v>
      </c>
      <c r="B249" s="187" t="s">
        <v>254</v>
      </c>
      <c r="C249" s="167" t="s">
        <v>75</v>
      </c>
      <c r="D249" s="151" t="s">
        <v>257</v>
      </c>
      <c r="E249" s="139">
        <v>2015</v>
      </c>
      <c r="F249" s="12">
        <f t="shared" ref="F249:F254" si="10">SUM(H249:I249)</f>
        <v>23806.500000000004</v>
      </c>
      <c r="G249" s="12"/>
      <c r="H249" s="12">
        <f>25365.4-1504.8-54.1</f>
        <v>23806.500000000004</v>
      </c>
      <c r="I249" s="12"/>
      <c r="J249" s="12"/>
      <c r="K249" s="151" t="s">
        <v>185</v>
      </c>
    </row>
    <row r="250" spans="1:32" x14ac:dyDescent="0.2">
      <c r="A250" s="162"/>
      <c r="B250" s="188"/>
      <c r="C250" s="181"/>
      <c r="D250" s="154"/>
      <c r="E250" s="133">
        <v>2016</v>
      </c>
      <c r="F250" s="14">
        <f t="shared" si="10"/>
        <v>12245.599999999999</v>
      </c>
      <c r="G250" s="14"/>
      <c r="H250" s="14">
        <f>12116.8-44.2+173</f>
        <v>12245.599999999999</v>
      </c>
      <c r="I250" s="14"/>
      <c r="J250" s="14"/>
      <c r="K250" s="154"/>
    </row>
    <row r="251" spans="1:32" x14ac:dyDescent="0.2">
      <c r="A251" s="162"/>
      <c r="B251" s="188"/>
      <c r="C251" s="181"/>
      <c r="D251" s="154"/>
      <c r="E251" s="133">
        <v>2017</v>
      </c>
      <c r="F251" s="14">
        <f t="shared" si="10"/>
        <v>27699.9</v>
      </c>
      <c r="G251" s="14"/>
      <c r="H251" s="14">
        <v>27699.9</v>
      </c>
      <c r="I251" s="14"/>
      <c r="J251" s="14"/>
      <c r="K251" s="154"/>
    </row>
    <row r="252" spans="1:32" x14ac:dyDescent="0.2">
      <c r="A252" s="162"/>
      <c r="B252" s="188"/>
      <c r="C252" s="181"/>
      <c r="D252" s="154"/>
      <c r="E252" s="133">
        <v>2018</v>
      </c>
      <c r="F252" s="14">
        <f t="shared" si="10"/>
        <v>0</v>
      </c>
      <c r="G252" s="14"/>
      <c r="H252" s="14"/>
      <c r="I252" s="14"/>
      <c r="J252" s="14"/>
      <c r="K252" s="154"/>
    </row>
    <row r="253" spans="1:32" x14ac:dyDescent="0.2">
      <c r="A253" s="162"/>
      <c r="B253" s="188"/>
      <c r="C253" s="181"/>
      <c r="D253" s="154"/>
      <c r="E253" s="133">
        <v>2019</v>
      </c>
      <c r="F253" s="14">
        <f t="shared" si="10"/>
        <v>0</v>
      </c>
      <c r="G253" s="14"/>
      <c r="H253" s="14"/>
      <c r="I253" s="14"/>
      <c r="J253" s="14"/>
      <c r="K253" s="154"/>
    </row>
    <row r="254" spans="1:32" x14ac:dyDescent="0.2">
      <c r="A254" s="162"/>
      <c r="B254" s="188"/>
      <c r="C254" s="181"/>
      <c r="D254" s="154"/>
      <c r="E254" s="133">
        <v>2020</v>
      </c>
      <c r="F254" s="14">
        <f t="shared" si="10"/>
        <v>0</v>
      </c>
      <c r="G254" s="14"/>
      <c r="H254" s="14"/>
      <c r="I254" s="14"/>
      <c r="J254" s="14"/>
      <c r="K254" s="154"/>
    </row>
    <row r="255" spans="1:32" ht="13.5" thickBot="1" x14ac:dyDescent="0.25">
      <c r="A255" s="163"/>
      <c r="B255" s="189"/>
      <c r="C255" s="182"/>
      <c r="D255" s="154"/>
      <c r="E255" s="24" t="s">
        <v>18</v>
      </c>
      <c r="F255" s="13">
        <f>SUM(F249:F254)</f>
        <v>63752.000000000007</v>
      </c>
      <c r="G255" s="13"/>
      <c r="H255" s="13">
        <f>SUM(H249:H254)</f>
        <v>63752.000000000007</v>
      </c>
      <c r="I255" s="13"/>
      <c r="J255" s="13"/>
      <c r="K255" s="155"/>
    </row>
    <row r="256" spans="1:32" x14ac:dyDescent="0.2">
      <c r="A256" s="162" t="s">
        <v>187</v>
      </c>
      <c r="B256" s="302" t="s">
        <v>186</v>
      </c>
      <c r="C256" s="167" t="s">
        <v>75</v>
      </c>
      <c r="D256" s="151" t="s">
        <v>257</v>
      </c>
      <c r="E256" s="133">
        <v>2015</v>
      </c>
      <c r="F256" s="14"/>
      <c r="G256" s="14"/>
      <c r="H256" s="14"/>
      <c r="I256" s="14"/>
      <c r="J256" s="14"/>
      <c r="K256" s="151" t="s">
        <v>188</v>
      </c>
    </row>
    <row r="257" spans="1:32" x14ac:dyDescent="0.2">
      <c r="A257" s="162"/>
      <c r="B257" s="188"/>
      <c r="C257" s="181"/>
      <c r="D257" s="154"/>
      <c r="E257" s="133">
        <v>2016</v>
      </c>
      <c r="F257" s="14"/>
      <c r="G257" s="14"/>
      <c r="H257" s="14"/>
      <c r="I257" s="14"/>
      <c r="J257" s="14"/>
      <c r="K257" s="154"/>
    </row>
    <row r="258" spans="1:32" x14ac:dyDescent="0.2">
      <c r="A258" s="162"/>
      <c r="B258" s="188"/>
      <c r="C258" s="181"/>
      <c r="D258" s="154"/>
      <c r="E258" s="133">
        <v>2017</v>
      </c>
      <c r="F258" s="14"/>
      <c r="G258" s="14"/>
      <c r="H258" s="14"/>
      <c r="I258" s="14"/>
      <c r="J258" s="14"/>
      <c r="K258" s="154"/>
    </row>
    <row r="259" spans="1:32" x14ac:dyDescent="0.2">
      <c r="A259" s="162"/>
      <c r="B259" s="188"/>
      <c r="C259" s="181"/>
      <c r="D259" s="154"/>
      <c r="E259" s="133">
        <v>2018</v>
      </c>
      <c r="F259" s="14"/>
      <c r="G259" s="14"/>
      <c r="H259" s="14"/>
      <c r="I259" s="14"/>
      <c r="J259" s="14"/>
      <c r="K259" s="154"/>
    </row>
    <row r="260" spans="1:32" x14ac:dyDescent="0.2">
      <c r="A260" s="162"/>
      <c r="B260" s="188"/>
      <c r="C260" s="181"/>
      <c r="D260" s="154"/>
      <c r="E260" s="133">
        <v>2019</v>
      </c>
      <c r="F260" s="14"/>
      <c r="G260" s="14"/>
      <c r="H260" s="14"/>
      <c r="I260" s="14"/>
      <c r="J260" s="14"/>
      <c r="K260" s="154"/>
    </row>
    <row r="261" spans="1:32" x14ac:dyDescent="0.2">
      <c r="A261" s="162"/>
      <c r="B261" s="188"/>
      <c r="C261" s="181"/>
      <c r="D261" s="154"/>
      <c r="E261" s="133">
        <v>2020</v>
      </c>
      <c r="F261" s="14"/>
      <c r="G261" s="14"/>
      <c r="H261" s="14"/>
      <c r="I261" s="14"/>
      <c r="J261" s="14"/>
      <c r="K261" s="154"/>
    </row>
    <row r="262" spans="1:32" ht="13.5" thickBot="1" x14ac:dyDescent="0.25">
      <c r="A262" s="163"/>
      <c r="B262" s="188"/>
      <c r="C262" s="181"/>
      <c r="D262" s="154"/>
      <c r="E262" s="33" t="s">
        <v>18</v>
      </c>
      <c r="F262" s="28"/>
      <c r="G262" s="28"/>
      <c r="H262" s="28"/>
      <c r="I262" s="28"/>
      <c r="J262" s="28"/>
      <c r="K262" s="154"/>
    </row>
    <row r="263" spans="1:32" ht="15.75" thickBot="1" x14ac:dyDescent="0.25">
      <c r="A263" s="297" t="s">
        <v>246</v>
      </c>
      <c r="B263" s="298"/>
      <c r="C263" s="298"/>
      <c r="D263" s="298"/>
      <c r="E263" s="124"/>
      <c r="F263" s="122">
        <f>F247+F255</f>
        <v>3830705.7</v>
      </c>
      <c r="G263" s="122"/>
      <c r="H263" s="122">
        <f>H247+H255</f>
        <v>3830705.7</v>
      </c>
      <c r="I263" s="125"/>
      <c r="J263" s="125"/>
      <c r="K263" s="126"/>
    </row>
    <row r="264" spans="1:32" ht="16.5" customHeight="1" thickBot="1" x14ac:dyDescent="0.3">
      <c r="A264" s="303" t="s">
        <v>228</v>
      </c>
      <c r="B264" s="304"/>
      <c r="C264" s="304"/>
      <c r="D264" s="304"/>
      <c r="E264" s="304"/>
      <c r="F264" s="304"/>
      <c r="G264" s="304"/>
      <c r="H264" s="304"/>
      <c r="I264" s="304"/>
      <c r="J264" s="304"/>
      <c r="K264" s="304"/>
      <c r="L264" s="109"/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  <c r="AA264" s="109"/>
      <c r="AB264" s="109"/>
      <c r="AC264" s="109"/>
      <c r="AD264" s="109"/>
      <c r="AE264" s="109"/>
      <c r="AF264" s="110"/>
    </row>
    <row r="265" spans="1:32" ht="135" customHeight="1" thickBot="1" x14ac:dyDescent="0.25">
      <c r="A265" s="299" t="s">
        <v>82</v>
      </c>
      <c r="B265" s="300"/>
      <c r="C265" s="300"/>
      <c r="D265" s="300"/>
      <c r="E265" s="300"/>
      <c r="F265" s="300"/>
      <c r="G265" s="300"/>
      <c r="H265" s="300"/>
      <c r="I265" s="300"/>
      <c r="J265" s="300"/>
      <c r="K265" s="301"/>
    </row>
    <row r="266" spans="1:32" x14ac:dyDescent="0.2">
      <c r="A266" s="162" t="s">
        <v>46</v>
      </c>
      <c r="B266" s="302" t="s">
        <v>277</v>
      </c>
      <c r="C266" s="167" t="s">
        <v>75</v>
      </c>
      <c r="D266" s="151" t="s">
        <v>257</v>
      </c>
      <c r="E266" s="133">
        <v>2015</v>
      </c>
      <c r="F266" s="14">
        <f t="shared" ref="F266:F271" si="11">SUM(G266:H266)</f>
        <v>29177</v>
      </c>
      <c r="G266" s="14"/>
      <c r="H266" s="14">
        <f>25777+3400</f>
        <v>29177</v>
      </c>
      <c r="I266" s="14"/>
      <c r="J266" s="14"/>
      <c r="K266" s="151" t="s">
        <v>189</v>
      </c>
    </row>
    <row r="267" spans="1:32" x14ac:dyDescent="0.2">
      <c r="A267" s="162"/>
      <c r="B267" s="315"/>
      <c r="C267" s="181"/>
      <c r="D267" s="154"/>
      <c r="E267" s="133">
        <v>2016</v>
      </c>
      <c r="F267" s="14">
        <f t="shared" si="11"/>
        <v>31021</v>
      </c>
      <c r="G267" s="14"/>
      <c r="H267" s="14">
        <f>32323-1302</f>
        <v>31021</v>
      </c>
      <c r="I267" s="14"/>
      <c r="J267" s="14"/>
      <c r="K267" s="154"/>
    </row>
    <row r="268" spans="1:32" x14ac:dyDescent="0.2">
      <c r="A268" s="162"/>
      <c r="B268" s="315"/>
      <c r="C268" s="181"/>
      <c r="D268" s="154"/>
      <c r="E268" s="133">
        <v>2017</v>
      </c>
      <c r="F268" s="14">
        <f t="shared" si="11"/>
        <v>30943.1</v>
      </c>
      <c r="G268" s="14"/>
      <c r="H268" s="14">
        <v>30943.1</v>
      </c>
      <c r="I268" s="14"/>
      <c r="J268" s="14"/>
      <c r="K268" s="154"/>
    </row>
    <row r="269" spans="1:32" x14ac:dyDescent="0.2">
      <c r="A269" s="162"/>
      <c r="B269" s="315"/>
      <c r="C269" s="181"/>
      <c r="D269" s="154"/>
      <c r="E269" s="133">
        <v>2018</v>
      </c>
      <c r="F269" s="14">
        <f t="shared" si="11"/>
        <v>34091.5</v>
      </c>
      <c r="G269" s="14"/>
      <c r="H269" s="14">
        <v>34091.5</v>
      </c>
      <c r="I269" s="14"/>
      <c r="J269" s="14"/>
      <c r="K269" s="154"/>
    </row>
    <row r="270" spans="1:32" x14ac:dyDescent="0.2">
      <c r="A270" s="162"/>
      <c r="B270" s="315"/>
      <c r="C270" s="181"/>
      <c r="D270" s="154"/>
      <c r="E270" s="133">
        <v>2019</v>
      </c>
      <c r="F270" s="14">
        <f t="shared" si="11"/>
        <v>35866.400000000001</v>
      </c>
      <c r="G270" s="14"/>
      <c r="H270" s="14">
        <v>35866.400000000001</v>
      </c>
      <c r="I270" s="14"/>
      <c r="J270" s="14"/>
      <c r="K270" s="154"/>
    </row>
    <row r="271" spans="1:32" x14ac:dyDescent="0.2">
      <c r="A271" s="162"/>
      <c r="B271" s="315"/>
      <c r="C271" s="181"/>
      <c r="D271" s="154"/>
      <c r="E271" s="133">
        <v>2020</v>
      </c>
      <c r="F271" s="14">
        <f t="shared" si="11"/>
        <v>37976</v>
      </c>
      <c r="G271" s="14"/>
      <c r="H271" s="14">
        <v>37976</v>
      </c>
      <c r="I271" s="14"/>
      <c r="J271" s="14"/>
      <c r="K271" s="154"/>
    </row>
    <row r="272" spans="1:32" ht="42.75" customHeight="1" x14ac:dyDescent="0.2">
      <c r="A272" s="163"/>
      <c r="B272" s="315"/>
      <c r="C272" s="182"/>
      <c r="D272" s="154"/>
      <c r="E272" s="24" t="s">
        <v>18</v>
      </c>
      <c r="F272" s="13">
        <f>SUM(F266:F271)</f>
        <v>199075</v>
      </c>
      <c r="G272" s="13"/>
      <c r="H272" s="13">
        <f>SUM(H266:H271)</f>
        <v>199075</v>
      </c>
      <c r="I272" s="13"/>
      <c r="J272" s="13"/>
      <c r="K272" s="155"/>
    </row>
    <row r="273" spans="1:11" x14ac:dyDescent="0.2">
      <c r="A273" s="226" t="s">
        <v>83</v>
      </c>
      <c r="B273" s="194" t="s">
        <v>168</v>
      </c>
      <c r="C273" s="167" t="s">
        <v>84</v>
      </c>
      <c r="D273" s="151" t="s">
        <v>257</v>
      </c>
      <c r="E273" s="133">
        <v>2015</v>
      </c>
      <c r="F273" s="14">
        <f t="shared" ref="F273:F278" si="12">SUM(G273:I273)</f>
        <v>470.20000000000005</v>
      </c>
      <c r="G273" s="14"/>
      <c r="H273" s="14">
        <f>416.1+54.1</f>
        <v>470.20000000000005</v>
      </c>
      <c r="I273" s="14"/>
      <c r="J273" s="14"/>
      <c r="K273" s="311" t="s">
        <v>189</v>
      </c>
    </row>
    <row r="274" spans="1:11" x14ac:dyDescent="0.2">
      <c r="A274" s="226"/>
      <c r="B274" s="195"/>
      <c r="C274" s="152"/>
      <c r="D274" s="154"/>
      <c r="E274" s="133">
        <v>2016</v>
      </c>
      <c r="F274" s="14">
        <f t="shared" si="12"/>
        <v>305.39999999999998</v>
      </c>
      <c r="G274" s="14"/>
      <c r="H274" s="14">
        <f>261.2+44.2</f>
        <v>305.39999999999998</v>
      </c>
      <c r="I274" s="14"/>
      <c r="J274" s="14"/>
      <c r="K274" s="312"/>
    </row>
    <row r="275" spans="1:11" x14ac:dyDescent="0.2">
      <c r="A275" s="226"/>
      <c r="B275" s="195"/>
      <c r="C275" s="152"/>
      <c r="D275" s="154"/>
      <c r="E275" s="133">
        <v>2017</v>
      </c>
      <c r="F275" s="14">
        <f t="shared" si="12"/>
        <v>454</v>
      </c>
      <c r="G275" s="14"/>
      <c r="H275" s="14">
        <v>454</v>
      </c>
      <c r="I275" s="14"/>
      <c r="J275" s="14"/>
      <c r="K275" s="312"/>
    </row>
    <row r="276" spans="1:11" x14ac:dyDescent="0.2">
      <c r="A276" s="226"/>
      <c r="B276" s="195"/>
      <c r="C276" s="152"/>
      <c r="D276" s="154"/>
      <c r="E276" s="133">
        <v>2018</v>
      </c>
      <c r="F276" s="14">
        <f t="shared" si="12"/>
        <v>1290</v>
      </c>
      <c r="G276" s="14"/>
      <c r="H276" s="14">
        <v>1290</v>
      </c>
      <c r="I276" s="14"/>
      <c r="J276" s="14"/>
      <c r="K276" s="312"/>
    </row>
    <row r="277" spans="1:11" x14ac:dyDescent="0.2">
      <c r="A277" s="226"/>
      <c r="B277" s="195"/>
      <c r="C277" s="152"/>
      <c r="D277" s="154"/>
      <c r="E277" s="133">
        <v>2019</v>
      </c>
      <c r="F277" s="14">
        <f t="shared" si="12"/>
        <v>1350</v>
      </c>
      <c r="G277" s="14"/>
      <c r="H277" s="14">
        <v>1350</v>
      </c>
      <c r="I277" s="14"/>
      <c r="J277" s="14"/>
      <c r="K277" s="312"/>
    </row>
    <row r="278" spans="1:11" x14ac:dyDescent="0.2">
      <c r="A278" s="226"/>
      <c r="B278" s="195"/>
      <c r="C278" s="152"/>
      <c r="D278" s="154"/>
      <c r="E278" s="133">
        <v>2020</v>
      </c>
      <c r="F278" s="14">
        <f t="shared" si="12"/>
        <v>1420</v>
      </c>
      <c r="G278" s="14"/>
      <c r="H278" s="14">
        <v>1420</v>
      </c>
      <c r="I278" s="14"/>
      <c r="J278" s="14"/>
      <c r="K278" s="312"/>
    </row>
    <row r="279" spans="1:11" x14ac:dyDescent="0.2">
      <c r="A279" s="226"/>
      <c r="B279" s="215"/>
      <c r="C279" s="153"/>
      <c r="D279" s="154"/>
      <c r="E279" s="24" t="s">
        <v>18</v>
      </c>
      <c r="F279" s="13">
        <f>SUM(F273:F278)</f>
        <v>5289.6</v>
      </c>
      <c r="G279" s="13"/>
      <c r="H279" s="13">
        <f>SUM(H273:H278)</f>
        <v>5289.6</v>
      </c>
      <c r="I279" s="14"/>
      <c r="J279" s="14"/>
      <c r="K279" s="313"/>
    </row>
    <row r="280" spans="1:11" x14ac:dyDescent="0.2">
      <c r="A280" s="161" t="s">
        <v>85</v>
      </c>
      <c r="B280" s="194" t="s">
        <v>166</v>
      </c>
      <c r="C280" s="167" t="s">
        <v>84</v>
      </c>
      <c r="D280" s="151" t="s">
        <v>257</v>
      </c>
      <c r="E280" s="133">
        <v>2015</v>
      </c>
      <c r="F280" s="14">
        <f t="shared" ref="F280:F285" si="13">SUM(G280:J280)</f>
        <v>5042</v>
      </c>
      <c r="G280" s="14"/>
      <c r="H280" s="14">
        <v>4991.6000000000004</v>
      </c>
      <c r="I280" s="14">
        <v>50.4</v>
      </c>
      <c r="J280" s="14"/>
      <c r="K280" s="151" t="s">
        <v>189</v>
      </c>
    </row>
    <row r="281" spans="1:11" x14ac:dyDescent="0.2">
      <c r="A281" s="162"/>
      <c r="B281" s="195"/>
      <c r="C281" s="152"/>
      <c r="D281" s="154"/>
      <c r="E281" s="133">
        <v>2016</v>
      </c>
      <c r="F281" s="14">
        <f t="shared" si="13"/>
        <v>0</v>
      </c>
      <c r="G281" s="14"/>
      <c r="H281" s="14"/>
      <c r="I281" s="14">
        <v>0</v>
      </c>
      <c r="J281" s="14"/>
      <c r="K281" s="154"/>
    </row>
    <row r="282" spans="1:11" x14ac:dyDescent="0.2">
      <c r="A282" s="162"/>
      <c r="B282" s="195"/>
      <c r="C282" s="152"/>
      <c r="D282" s="154"/>
      <c r="E282" s="133">
        <v>2017</v>
      </c>
      <c r="F282" s="14">
        <f t="shared" si="13"/>
        <v>5506</v>
      </c>
      <c r="G282" s="14"/>
      <c r="H282" s="14">
        <v>5450.9</v>
      </c>
      <c r="I282" s="14">
        <v>55.1</v>
      </c>
      <c r="J282" s="14"/>
      <c r="K282" s="154"/>
    </row>
    <row r="283" spans="1:11" x14ac:dyDescent="0.2">
      <c r="A283" s="162"/>
      <c r="B283" s="195"/>
      <c r="C283" s="152"/>
      <c r="D283" s="154"/>
      <c r="E283" s="133">
        <v>2018</v>
      </c>
      <c r="F283" s="14">
        <f t="shared" si="13"/>
        <v>0</v>
      </c>
      <c r="G283" s="14"/>
      <c r="H283" s="14"/>
      <c r="I283" s="14"/>
      <c r="J283" s="14"/>
      <c r="K283" s="154"/>
    </row>
    <row r="284" spans="1:11" x14ac:dyDescent="0.2">
      <c r="A284" s="162"/>
      <c r="B284" s="195"/>
      <c r="C284" s="152"/>
      <c r="D284" s="154"/>
      <c r="E284" s="133">
        <v>2019</v>
      </c>
      <c r="F284" s="14">
        <f t="shared" si="13"/>
        <v>0</v>
      </c>
      <c r="G284" s="14"/>
      <c r="H284" s="14"/>
      <c r="I284" s="14"/>
      <c r="J284" s="14"/>
      <c r="K284" s="154"/>
    </row>
    <row r="285" spans="1:11" x14ac:dyDescent="0.2">
      <c r="A285" s="162"/>
      <c r="B285" s="195"/>
      <c r="C285" s="152"/>
      <c r="D285" s="154"/>
      <c r="E285" s="133">
        <v>2020</v>
      </c>
      <c r="F285" s="14">
        <f t="shared" si="13"/>
        <v>0</v>
      </c>
      <c r="G285" s="14"/>
      <c r="H285" s="14"/>
      <c r="I285" s="14"/>
      <c r="J285" s="14"/>
      <c r="K285" s="154"/>
    </row>
    <row r="286" spans="1:11" ht="45" customHeight="1" x14ac:dyDescent="0.2">
      <c r="A286" s="163"/>
      <c r="B286" s="195"/>
      <c r="C286" s="153"/>
      <c r="D286" s="154"/>
      <c r="E286" s="24" t="s">
        <v>18</v>
      </c>
      <c r="F286" s="52">
        <f>SUM(F280:F285)</f>
        <v>10548</v>
      </c>
      <c r="G286" s="52"/>
      <c r="H286" s="52">
        <f>SUM(H280:H285)</f>
        <v>10442.5</v>
      </c>
      <c r="I286" s="52">
        <f>SUM(I280:I285)</f>
        <v>105.5</v>
      </c>
      <c r="J286" s="52"/>
      <c r="K286" s="155"/>
    </row>
    <row r="287" spans="1:11" ht="12.75" customHeight="1" x14ac:dyDescent="0.2">
      <c r="A287" s="161" t="s">
        <v>169</v>
      </c>
      <c r="B287" s="164" t="s">
        <v>76</v>
      </c>
      <c r="C287" s="167" t="s">
        <v>84</v>
      </c>
      <c r="D287" s="151" t="s">
        <v>257</v>
      </c>
      <c r="E287" s="133">
        <v>2015</v>
      </c>
      <c r="F287" s="14">
        <f t="shared" ref="F287:F292" si="14">SUM(G287:J287)</f>
        <v>0</v>
      </c>
      <c r="G287" s="14"/>
      <c r="H287" s="14"/>
      <c r="I287" s="14"/>
      <c r="J287" s="14"/>
      <c r="K287" s="151" t="s">
        <v>190</v>
      </c>
    </row>
    <row r="288" spans="1:11" ht="12.75" customHeight="1" x14ac:dyDescent="0.2">
      <c r="A288" s="162"/>
      <c r="B288" s="165"/>
      <c r="C288" s="152"/>
      <c r="D288" s="154"/>
      <c r="E288" s="133">
        <v>2016</v>
      </c>
      <c r="F288" s="14">
        <f t="shared" si="14"/>
        <v>2194.1</v>
      </c>
      <c r="G288" s="14"/>
      <c r="H288" s="14"/>
      <c r="I288" s="14">
        <v>2194.1</v>
      </c>
      <c r="J288" s="14"/>
      <c r="K288" s="154"/>
    </row>
    <row r="289" spans="1:32" ht="12.75" customHeight="1" x14ac:dyDescent="0.2">
      <c r="A289" s="162"/>
      <c r="B289" s="165"/>
      <c r="C289" s="152"/>
      <c r="D289" s="154"/>
      <c r="E289" s="133">
        <v>2017</v>
      </c>
      <c r="F289" s="14">
        <f t="shared" si="14"/>
        <v>0</v>
      </c>
      <c r="G289" s="14"/>
      <c r="H289" s="14"/>
      <c r="I289" s="14"/>
      <c r="J289" s="14"/>
      <c r="K289" s="154"/>
    </row>
    <row r="290" spans="1:32" ht="12.75" customHeight="1" x14ac:dyDescent="0.2">
      <c r="A290" s="162"/>
      <c r="B290" s="165"/>
      <c r="C290" s="152"/>
      <c r="D290" s="154"/>
      <c r="E290" s="133">
        <v>2018</v>
      </c>
      <c r="F290" s="14">
        <f t="shared" si="14"/>
        <v>0</v>
      </c>
      <c r="G290" s="14"/>
      <c r="H290" s="14"/>
      <c r="I290" s="14"/>
      <c r="J290" s="14"/>
      <c r="K290" s="154"/>
    </row>
    <row r="291" spans="1:32" ht="12.75" customHeight="1" x14ac:dyDescent="0.2">
      <c r="A291" s="162"/>
      <c r="B291" s="165"/>
      <c r="C291" s="152"/>
      <c r="D291" s="154"/>
      <c r="E291" s="133">
        <v>2019</v>
      </c>
      <c r="F291" s="14">
        <f t="shared" si="14"/>
        <v>0</v>
      </c>
      <c r="G291" s="14"/>
      <c r="H291" s="14"/>
      <c r="I291" s="14"/>
      <c r="J291" s="14"/>
      <c r="K291" s="154"/>
    </row>
    <row r="292" spans="1:32" ht="12.75" customHeight="1" x14ac:dyDescent="0.2">
      <c r="A292" s="162"/>
      <c r="B292" s="165"/>
      <c r="C292" s="152"/>
      <c r="D292" s="154"/>
      <c r="E292" s="133">
        <v>2020</v>
      </c>
      <c r="F292" s="14">
        <f t="shared" si="14"/>
        <v>0</v>
      </c>
      <c r="G292" s="14"/>
      <c r="H292" s="14"/>
      <c r="I292" s="14"/>
      <c r="J292" s="14"/>
      <c r="K292" s="154"/>
    </row>
    <row r="293" spans="1:32" ht="18" customHeight="1" thickBot="1" x14ac:dyDescent="0.25">
      <c r="A293" s="163"/>
      <c r="B293" s="166"/>
      <c r="C293" s="168"/>
      <c r="D293" s="154"/>
      <c r="E293" s="24" t="s">
        <v>18</v>
      </c>
      <c r="F293" s="52">
        <f>SUM(F287:F292)</f>
        <v>2194.1</v>
      </c>
      <c r="G293" s="52"/>
      <c r="H293" s="52">
        <f>SUM(H287:H292)</f>
        <v>0</v>
      </c>
      <c r="I293" s="52">
        <f>SUM(I287:I292)</f>
        <v>2194.1</v>
      </c>
      <c r="J293" s="52"/>
      <c r="K293" s="155"/>
    </row>
    <row r="294" spans="1:32" ht="15.75" thickBot="1" x14ac:dyDescent="0.3">
      <c r="A294" s="243" t="s">
        <v>224</v>
      </c>
      <c r="B294" s="314"/>
      <c r="C294" s="314"/>
      <c r="D294" s="314"/>
      <c r="E294" s="57"/>
      <c r="F294" s="18">
        <f>F286+F279+F272+F293</f>
        <v>217106.7</v>
      </c>
      <c r="G294" s="18">
        <f>G286+G279+G272</f>
        <v>0</v>
      </c>
      <c r="H294" s="20">
        <f>H286+H279+H272+H293</f>
        <v>214807.1</v>
      </c>
      <c r="I294" s="20">
        <f>I286+I279+I272+I293</f>
        <v>2299.6</v>
      </c>
      <c r="J294" s="58"/>
      <c r="K294" s="59"/>
    </row>
    <row r="295" spans="1:32" ht="16.5" thickBot="1" x14ac:dyDescent="0.3">
      <c r="A295" s="305" t="s">
        <v>229</v>
      </c>
      <c r="B295" s="306"/>
      <c r="C295" s="306"/>
      <c r="D295" s="306"/>
      <c r="E295" s="306"/>
      <c r="F295" s="6"/>
      <c r="G295" s="6"/>
      <c r="H295" s="6"/>
      <c r="I295" s="60"/>
      <c r="J295" s="60"/>
      <c r="K295" s="60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/>
      <c r="AD295" s="61"/>
      <c r="AE295" s="61"/>
      <c r="AF295" s="62"/>
    </row>
    <row r="296" spans="1:32" x14ac:dyDescent="0.2">
      <c r="A296" s="307" t="s">
        <v>153</v>
      </c>
      <c r="B296" s="259" t="s">
        <v>154</v>
      </c>
      <c r="C296" s="167" t="s">
        <v>84</v>
      </c>
      <c r="D296" s="151" t="s">
        <v>257</v>
      </c>
      <c r="E296" s="133">
        <v>2015</v>
      </c>
      <c r="F296" s="14">
        <f t="shared" ref="F296:F301" si="15">SUM(G296:I296)</f>
        <v>175</v>
      </c>
      <c r="G296" s="14"/>
      <c r="H296" s="14"/>
      <c r="I296" s="14">
        <v>175</v>
      </c>
      <c r="J296" s="14"/>
      <c r="K296" s="151" t="s">
        <v>191</v>
      </c>
    </row>
    <row r="297" spans="1:32" x14ac:dyDescent="0.2">
      <c r="A297" s="308"/>
      <c r="B297" s="310"/>
      <c r="C297" s="152"/>
      <c r="D297" s="154"/>
      <c r="E297" s="133">
        <v>2016</v>
      </c>
      <c r="F297" s="14">
        <f t="shared" si="15"/>
        <v>185</v>
      </c>
      <c r="G297" s="14"/>
      <c r="H297" s="14"/>
      <c r="I297" s="14">
        <v>185</v>
      </c>
      <c r="J297" s="14"/>
      <c r="K297" s="154"/>
    </row>
    <row r="298" spans="1:32" x14ac:dyDescent="0.2">
      <c r="A298" s="308"/>
      <c r="B298" s="310"/>
      <c r="C298" s="152"/>
      <c r="D298" s="154"/>
      <c r="E298" s="133">
        <v>2017</v>
      </c>
      <c r="F298" s="14">
        <f t="shared" si="15"/>
        <v>195</v>
      </c>
      <c r="G298" s="14"/>
      <c r="H298" s="14"/>
      <c r="I298" s="14">
        <v>195</v>
      </c>
      <c r="J298" s="14"/>
      <c r="K298" s="154"/>
    </row>
    <row r="299" spans="1:32" x14ac:dyDescent="0.2">
      <c r="A299" s="308"/>
      <c r="B299" s="310"/>
      <c r="C299" s="152"/>
      <c r="D299" s="154"/>
      <c r="E299" s="133">
        <v>2018</v>
      </c>
      <c r="F299" s="14">
        <f t="shared" si="15"/>
        <v>205</v>
      </c>
      <c r="G299" s="14"/>
      <c r="H299" s="14"/>
      <c r="I299" s="14">
        <v>205</v>
      </c>
      <c r="J299" s="14"/>
      <c r="K299" s="154"/>
    </row>
    <row r="300" spans="1:32" x14ac:dyDescent="0.2">
      <c r="A300" s="308"/>
      <c r="B300" s="310"/>
      <c r="C300" s="152"/>
      <c r="D300" s="154"/>
      <c r="E300" s="133">
        <v>2019</v>
      </c>
      <c r="F300" s="14">
        <f t="shared" si="15"/>
        <v>215</v>
      </c>
      <c r="G300" s="14"/>
      <c r="H300" s="14"/>
      <c r="I300" s="14">
        <v>215</v>
      </c>
      <c r="J300" s="14"/>
      <c r="K300" s="154"/>
    </row>
    <row r="301" spans="1:32" x14ac:dyDescent="0.2">
      <c r="A301" s="308"/>
      <c r="B301" s="310"/>
      <c r="C301" s="152"/>
      <c r="D301" s="154"/>
      <c r="E301" s="133">
        <v>2020</v>
      </c>
      <c r="F301" s="14">
        <f t="shared" si="15"/>
        <v>230</v>
      </c>
      <c r="G301" s="14"/>
      <c r="H301" s="14"/>
      <c r="I301" s="14">
        <v>230</v>
      </c>
      <c r="J301" s="14"/>
      <c r="K301" s="154"/>
    </row>
    <row r="302" spans="1:32" ht="58.5" customHeight="1" thickBot="1" x14ac:dyDescent="0.25">
      <c r="A302" s="309"/>
      <c r="B302" s="310"/>
      <c r="C302" s="168"/>
      <c r="D302" s="154"/>
      <c r="E302" s="33" t="s">
        <v>18</v>
      </c>
      <c r="F302" s="52">
        <f>SUM(F296:F301)</f>
        <v>1205</v>
      </c>
      <c r="G302" s="52"/>
      <c r="H302" s="52"/>
      <c r="I302" s="52">
        <f>SUM(I296:I301)</f>
        <v>1205</v>
      </c>
      <c r="J302" s="28"/>
      <c r="K302" s="155"/>
    </row>
    <row r="303" spans="1:32" ht="15.75" thickBot="1" x14ac:dyDescent="0.3">
      <c r="A303" s="243" t="s">
        <v>236</v>
      </c>
      <c r="B303" s="314"/>
      <c r="C303" s="314"/>
      <c r="D303" s="314"/>
      <c r="E303" s="63"/>
      <c r="F303" s="20">
        <f>SUM(F302)</f>
        <v>1205</v>
      </c>
      <c r="G303" s="18">
        <f>SUM(G302)</f>
        <v>0</v>
      </c>
      <c r="H303" s="18">
        <f>SUM(H302)</f>
        <v>0</v>
      </c>
      <c r="I303" s="20">
        <f>SUM(I302)</f>
        <v>1205</v>
      </c>
      <c r="J303" s="58"/>
      <c r="K303" s="59"/>
    </row>
    <row r="304" spans="1:32" ht="16.5" thickBot="1" x14ac:dyDescent="0.25">
      <c r="A304" s="318" t="s">
        <v>230</v>
      </c>
      <c r="B304" s="319"/>
      <c r="C304" s="319"/>
      <c r="D304" s="319"/>
      <c r="E304" s="319"/>
      <c r="F304" s="319"/>
      <c r="G304" s="319"/>
      <c r="H304" s="319"/>
      <c r="I304" s="319"/>
      <c r="J304" s="319"/>
      <c r="K304" s="320"/>
      <c r="L304" s="64"/>
      <c r="M304" s="64"/>
      <c r="N304" s="64"/>
      <c r="O304" s="64"/>
      <c r="P304" s="64"/>
      <c r="Q304" s="64"/>
      <c r="R304" s="64"/>
      <c r="S304" s="64"/>
      <c r="T304" s="64"/>
      <c r="U304" s="64"/>
      <c r="V304" s="64"/>
      <c r="W304" s="64"/>
      <c r="X304" s="64"/>
      <c r="Y304" s="64"/>
      <c r="Z304" s="64"/>
      <c r="AA304" s="64"/>
      <c r="AB304" s="64"/>
      <c r="AC304" s="64"/>
      <c r="AD304" s="64"/>
      <c r="AE304" s="64"/>
      <c r="AF304" s="65"/>
    </row>
    <row r="305" spans="1:32" x14ac:dyDescent="0.2">
      <c r="A305" s="321" t="s">
        <v>192</v>
      </c>
      <c r="B305" s="185" t="s">
        <v>278</v>
      </c>
      <c r="C305" s="181" t="s">
        <v>84</v>
      </c>
      <c r="D305" s="154" t="s">
        <v>257</v>
      </c>
      <c r="E305" s="139">
        <v>2015</v>
      </c>
      <c r="F305" s="12">
        <f t="shared" ref="F305:F310" si="16">SUM(G305:I305)</f>
        <v>275</v>
      </c>
      <c r="G305" s="12"/>
      <c r="H305" s="12"/>
      <c r="I305" s="12">
        <v>275</v>
      </c>
      <c r="J305" s="12"/>
      <c r="K305" s="154" t="s">
        <v>193</v>
      </c>
    </row>
    <row r="306" spans="1:32" x14ac:dyDescent="0.2">
      <c r="A306" s="322"/>
      <c r="B306" s="164"/>
      <c r="C306" s="152"/>
      <c r="D306" s="154"/>
      <c r="E306" s="133">
        <v>2016</v>
      </c>
      <c r="F306" s="14">
        <f t="shared" si="16"/>
        <v>295</v>
      </c>
      <c r="G306" s="14"/>
      <c r="H306" s="14"/>
      <c r="I306" s="14">
        <v>295</v>
      </c>
      <c r="J306" s="14"/>
      <c r="K306" s="154"/>
    </row>
    <row r="307" spans="1:32" x14ac:dyDescent="0.2">
      <c r="A307" s="322"/>
      <c r="B307" s="164"/>
      <c r="C307" s="152"/>
      <c r="D307" s="154"/>
      <c r="E307" s="133">
        <v>2017</v>
      </c>
      <c r="F307" s="14">
        <f t="shared" si="16"/>
        <v>315</v>
      </c>
      <c r="G307" s="14"/>
      <c r="H307" s="14"/>
      <c r="I307" s="14">
        <v>315</v>
      </c>
      <c r="J307" s="14"/>
      <c r="K307" s="154"/>
    </row>
    <row r="308" spans="1:32" x14ac:dyDescent="0.2">
      <c r="A308" s="322"/>
      <c r="B308" s="164"/>
      <c r="C308" s="152"/>
      <c r="D308" s="154"/>
      <c r="E308" s="133">
        <v>2018</v>
      </c>
      <c r="F308" s="14">
        <f t="shared" si="16"/>
        <v>60</v>
      </c>
      <c r="G308" s="14"/>
      <c r="H308" s="14"/>
      <c r="I308" s="14">
        <v>60</v>
      </c>
      <c r="J308" s="14"/>
      <c r="K308" s="154"/>
    </row>
    <row r="309" spans="1:32" x14ac:dyDescent="0.2">
      <c r="A309" s="322"/>
      <c r="B309" s="164"/>
      <c r="C309" s="152"/>
      <c r="D309" s="154"/>
      <c r="E309" s="133">
        <v>2019</v>
      </c>
      <c r="F309" s="14">
        <f t="shared" si="16"/>
        <v>60</v>
      </c>
      <c r="G309" s="14"/>
      <c r="H309" s="14"/>
      <c r="I309" s="14">
        <v>60</v>
      </c>
      <c r="J309" s="14"/>
      <c r="K309" s="154"/>
    </row>
    <row r="310" spans="1:32" x14ac:dyDescent="0.2">
      <c r="A310" s="322"/>
      <c r="B310" s="164"/>
      <c r="C310" s="152"/>
      <c r="D310" s="154"/>
      <c r="E310" s="133">
        <v>2020</v>
      </c>
      <c r="F310" s="14">
        <f t="shared" si="16"/>
        <v>60</v>
      </c>
      <c r="G310" s="14"/>
      <c r="H310" s="14"/>
      <c r="I310" s="14">
        <v>60</v>
      </c>
      <c r="J310" s="14"/>
      <c r="K310" s="154"/>
    </row>
    <row r="311" spans="1:32" ht="59.25" customHeight="1" thickBot="1" x14ac:dyDescent="0.25">
      <c r="A311" s="323"/>
      <c r="B311" s="164"/>
      <c r="C311" s="168"/>
      <c r="D311" s="154"/>
      <c r="E311" s="24" t="s">
        <v>18</v>
      </c>
      <c r="F311" s="13">
        <f>SUM(F305:F310)</f>
        <v>1065</v>
      </c>
      <c r="G311" s="13"/>
      <c r="H311" s="13">
        <f>SUM(H305:H310)</f>
        <v>0</v>
      </c>
      <c r="I311" s="13">
        <f>SUM(I305:I310)</f>
        <v>1065</v>
      </c>
      <c r="J311" s="14"/>
      <c r="K311" s="324"/>
    </row>
    <row r="312" spans="1:32" ht="15.75" thickBot="1" x14ac:dyDescent="0.3">
      <c r="A312" s="243" t="s">
        <v>238</v>
      </c>
      <c r="B312" s="314"/>
      <c r="C312" s="314"/>
      <c r="D312" s="314"/>
      <c r="E312" s="63"/>
      <c r="F312" s="20">
        <f>SUM(F311)</f>
        <v>1065</v>
      </c>
      <c r="G312" s="18">
        <f>SUM(G311)</f>
        <v>0</v>
      </c>
      <c r="H312" s="18">
        <f>SUM(H311)</f>
        <v>0</v>
      </c>
      <c r="I312" s="20">
        <f>SUM(I311)</f>
        <v>1065</v>
      </c>
      <c r="J312" s="58"/>
      <c r="K312" s="59"/>
    </row>
    <row r="313" spans="1:32" ht="16.5" thickBot="1" x14ac:dyDescent="0.25">
      <c r="A313" s="318" t="s">
        <v>231</v>
      </c>
      <c r="B313" s="319"/>
      <c r="C313" s="319"/>
      <c r="D313" s="319"/>
      <c r="E313" s="319"/>
      <c r="F313" s="319"/>
      <c r="G313" s="319"/>
      <c r="H313" s="319"/>
      <c r="I313" s="319"/>
      <c r="J313" s="319"/>
      <c r="K313" s="320"/>
      <c r="L313" s="64"/>
      <c r="M313" s="64"/>
      <c r="N313" s="64"/>
      <c r="O313" s="64"/>
      <c r="P313" s="64"/>
      <c r="Q313" s="64"/>
      <c r="R313" s="64"/>
      <c r="S313" s="64"/>
      <c r="T313" s="64"/>
      <c r="U313" s="64"/>
      <c r="V313" s="64"/>
      <c r="W313" s="64"/>
      <c r="X313" s="64"/>
      <c r="Y313" s="64"/>
      <c r="Z313" s="64"/>
      <c r="AA313" s="64"/>
      <c r="AB313" s="64"/>
      <c r="AC313" s="64"/>
      <c r="AD313" s="64"/>
      <c r="AE313" s="64"/>
      <c r="AF313" s="65"/>
    </row>
    <row r="314" spans="1:32" x14ac:dyDescent="0.2">
      <c r="A314" s="409" t="s">
        <v>194</v>
      </c>
      <c r="B314" s="263" t="s">
        <v>279</v>
      </c>
      <c r="C314" s="181" t="s">
        <v>84</v>
      </c>
      <c r="D314" s="154" t="s">
        <v>257</v>
      </c>
      <c r="E314" s="139">
        <v>2015</v>
      </c>
      <c r="F314" s="12">
        <f t="shared" ref="F314:F319" si="17">SUM(G314:J314)</f>
        <v>1715</v>
      </c>
      <c r="G314" s="12"/>
      <c r="H314" s="12">
        <v>1715</v>
      </c>
      <c r="I314" s="12"/>
      <c r="J314" s="12"/>
      <c r="K314" s="154" t="s">
        <v>195</v>
      </c>
    </row>
    <row r="315" spans="1:32" x14ac:dyDescent="0.2">
      <c r="A315" s="333"/>
      <c r="B315" s="259"/>
      <c r="C315" s="152"/>
      <c r="D315" s="154"/>
      <c r="E315" s="133">
        <v>2016</v>
      </c>
      <c r="F315" s="14">
        <f t="shared" si="17"/>
        <v>931.30000000000018</v>
      </c>
      <c r="G315" s="14"/>
      <c r="H315" s="14">
        <f>2151.3-1220</f>
        <v>931.30000000000018</v>
      </c>
      <c r="I315" s="14"/>
      <c r="J315" s="14"/>
      <c r="K315" s="316"/>
    </row>
    <row r="316" spans="1:32" x14ac:dyDescent="0.2">
      <c r="A316" s="333"/>
      <c r="B316" s="259"/>
      <c r="C316" s="152"/>
      <c r="D316" s="154"/>
      <c r="E316" s="133">
        <v>2017</v>
      </c>
      <c r="F316" s="14">
        <f t="shared" si="17"/>
        <v>2058.6999999999998</v>
      </c>
      <c r="G316" s="14"/>
      <c r="H316" s="14">
        <v>2058.6999999999998</v>
      </c>
      <c r="I316" s="14"/>
      <c r="J316" s="14"/>
      <c r="K316" s="316"/>
    </row>
    <row r="317" spans="1:32" x14ac:dyDescent="0.2">
      <c r="A317" s="333"/>
      <c r="B317" s="259"/>
      <c r="C317" s="152"/>
      <c r="D317" s="154"/>
      <c r="E317" s="133">
        <v>2018</v>
      </c>
      <c r="F317" s="14">
        <f t="shared" si="17"/>
        <v>1200</v>
      </c>
      <c r="G317" s="14"/>
      <c r="H317" s="14">
        <v>1200</v>
      </c>
      <c r="I317" s="14"/>
      <c r="J317" s="14"/>
      <c r="K317" s="316"/>
    </row>
    <row r="318" spans="1:32" x14ac:dyDescent="0.2">
      <c r="A318" s="333"/>
      <c r="B318" s="259"/>
      <c r="C318" s="152"/>
      <c r="D318" s="154"/>
      <c r="E318" s="133">
        <v>2019</v>
      </c>
      <c r="F318" s="14">
        <f t="shared" si="17"/>
        <v>1260</v>
      </c>
      <c r="G318" s="14"/>
      <c r="H318" s="14">
        <v>1260</v>
      </c>
      <c r="I318" s="14"/>
      <c r="J318" s="14"/>
      <c r="K318" s="316"/>
    </row>
    <row r="319" spans="1:32" x14ac:dyDescent="0.2">
      <c r="A319" s="333"/>
      <c r="B319" s="259"/>
      <c r="C319" s="152"/>
      <c r="D319" s="154"/>
      <c r="E319" s="133">
        <v>2020</v>
      </c>
      <c r="F319" s="14">
        <f t="shared" si="17"/>
        <v>1530</v>
      </c>
      <c r="G319" s="14"/>
      <c r="H319" s="14">
        <v>1530</v>
      </c>
      <c r="I319" s="14"/>
      <c r="J319" s="14"/>
      <c r="K319" s="316"/>
    </row>
    <row r="320" spans="1:32" ht="63.75" customHeight="1" thickBot="1" x14ac:dyDescent="0.25">
      <c r="A320" s="410"/>
      <c r="B320" s="259"/>
      <c r="C320" s="168"/>
      <c r="D320" s="154"/>
      <c r="E320" s="24" t="s">
        <v>18</v>
      </c>
      <c r="F320" s="13">
        <f>SUM(F314:F319)</f>
        <v>8695</v>
      </c>
      <c r="G320" s="13"/>
      <c r="H320" s="13">
        <f>SUM(H314:H319)</f>
        <v>8695</v>
      </c>
      <c r="I320" s="14"/>
      <c r="J320" s="14"/>
      <c r="K320" s="317"/>
    </row>
    <row r="321" spans="1:35" ht="18" customHeight="1" x14ac:dyDescent="0.2">
      <c r="A321" s="405" t="s">
        <v>260</v>
      </c>
      <c r="B321" s="406"/>
      <c r="C321" s="406"/>
      <c r="D321" s="406"/>
      <c r="E321" s="406"/>
      <c r="F321" s="406"/>
      <c r="G321" s="406"/>
      <c r="H321" s="406"/>
      <c r="I321" s="406"/>
      <c r="J321" s="406"/>
      <c r="K321" s="407"/>
    </row>
    <row r="322" spans="1:35" ht="47.25" customHeight="1" x14ac:dyDescent="0.25">
      <c r="A322" s="408" t="s">
        <v>261</v>
      </c>
      <c r="B322" s="364"/>
      <c r="C322" s="364"/>
      <c r="D322" s="365"/>
      <c r="E322" s="102" t="s">
        <v>75</v>
      </c>
      <c r="F322" s="102" t="s">
        <v>18</v>
      </c>
      <c r="G322" s="102" t="s">
        <v>10</v>
      </c>
      <c r="H322" s="100" t="s">
        <v>11</v>
      </c>
      <c r="I322" s="100" t="s">
        <v>12</v>
      </c>
      <c r="J322" s="100" t="s">
        <v>13</v>
      </c>
      <c r="K322" s="59"/>
    </row>
    <row r="323" spans="1:35" ht="13.5" thickBot="1" x14ac:dyDescent="0.25">
      <c r="A323" s="93"/>
      <c r="B323" s="93"/>
      <c r="C323" s="93"/>
      <c r="D323" s="93"/>
      <c r="E323" s="93"/>
      <c r="F323" s="114">
        <f>SUM(G323:J323)</f>
        <v>4585072.7</v>
      </c>
      <c r="G323" s="114">
        <f>G320+G311+G303+G294+G263+G238</f>
        <v>0</v>
      </c>
      <c r="H323" s="114">
        <f>H320+H311+H303+H294+H263+H238</f>
        <v>4379697.1000000006</v>
      </c>
      <c r="I323" s="114">
        <f>I320+I311+I303+I294+I263+I238</f>
        <v>205375.6</v>
      </c>
      <c r="J323" s="115"/>
      <c r="K323" s="93"/>
    </row>
    <row r="324" spans="1:35" ht="41.25" customHeight="1" x14ac:dyDescent="0.2">
      <c r="A324" s="289" t="s">
        <v>270</v>
      </c>
      <c r="B324" s="290"/>
      <c r="C324" s="290"/>
      <c r="D324" s="290"/>
      <c r="E324" s="290"/>
      <c r="F324" s="290"/>
      <c r="G324" s="290"/>
      <c r="H324" s="290"/>
      <c r="I324" s="290"/>
      <c r="J324" s="290"/>
      <c r="K324" s="290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  <c r="AC324" s="46"/>
      <c r="AD324" s="46"/>
      <c r="AE324" s="46"/>
      <c r="AF324" s="46"/>
      <c r="AG324" s="46"/>
      <c r="AH324" s="46"/>
      <c r="AI324" s="47"/>
    </row>
    <row r="325" spans="1:35" ht="35.25" customHeight="1" x14ac:dyDescent="0.2">
      <c r="A325" s="387" t="s">
        <v>232</v>
      </c>
      <c r="B325" s="328"/>
      <c r="C325" s="328"/>
      <c r="D325" s="328"/>
      <c r="E325" s="328"/>
      <c r="F325" s="328"/>
      <c r="G325" s="328"/>
      <c r="H325" s="328"/>
      <c r="I325" s="328"/>
      <c r="J325" s="328"/>
      <c r="K325" s="328"/>
      <c r="L325" s="66"/>
      <c r="M325" s="66"/>
      <c r="N325" s="66"/>
      <c r="O325" s="66"/>
      <c r="P325" s="66"/>
      <c r="Q325" s="66"/>
      <c r="R325" s="66"/>
      <c r="S325" s="66"/>
      <c r="T325" s="66"/>
      <c r="U325" s="66"/>
      <c r="V325" s="66"/>
      <c r="W325" s="66"/>
      <c r="X325" s="66"/>
      <c r="Y325" s="66"/>
      <c r="Z325" s="66"/>
      <c r="AA325" s="66"/>
      <c r="AB325" s="66"/>
      <c r="AC325" s="66"/>
      <c r="AD325" s="66"/>
      <c r="AE325" s="66"/>
      <c r="AF325" s="66"/>
      <c r="AG325" s="66"/>
      <c r="AH325" s="66"/>
      <c r="AI325" s="67"/>
    </row>
    <row r="326" spans="1:35" x14ac:dyDescent="0.2">
      <c r="A326" s="332" t="s">
        <v>129</v>
      </c>
      <c r="B326" s="191" t="s">
        <v>86</v>
      </c>
      <c r="C326" s="167" t="s">
        <v>84</v>
      </c>
      <c r="D326" s="151" t="s">
        <v>257</v>
      </c>
      <c r="E326" s="133">
        <v>2015</v>
      </c>
      <c r="F326" s="133"/>
      <c r="G326" s="133"/>
      <c r="H326" s="133"/>
      <c r="I326" s="133"/>
      <c r="J326" s="133"/>
      <c r="K326" s="151" t="s">
        <v>196</v>
      </c>
    </row>
    <row r="327" spans="1:35" x14ac:dyDescent="0.2">
      <c r="A327" s="333"/>
      <c r="B327" s="179"/>
      <c r="C327" s="152"/>
      <c r="D327" s="154"/>
      <c r="E327" s="133">
        <v>2016</v>
      </c>
      <c r="F327" s="133"/>
      <c r="G327" s="133"/>
      <c r="H327" s="133"/>
      <c r="I327" s="133"/>
      <c r="J327" s="133"/>
      <c r="K327" s="154"/>
    </row>
    <row r="328" spans="1:35" x14ac:dyDescent="0.2">
      <c r="A328" s="333"/>
      <c r="B328" s="179"/>
      <c r="C328" s="152"/>
      <c r="D328" s="154"/>
      <c r="E328" s="133">
        <v>2017</v>
      </c>
      <c r="F328" s="133"/>
      <c r="G328" s="133"/>
      <c r="H328" s="133"/>
      <c r="I328" s="133"/>
      <c r="J328" s="133"/>
      <c r="K328" s="154"/>
    </row>
    <row r="329" spans="1:35" x14ac:dyDescent="0.2">
      <c r="A329" s="333"/>
      <c r="B329" s="179"/>
      <c r="C329" s="152"/>
      <c r="D329" s="154"/>
      <c r="E329" s="133">
        <v>2018</v>
      </c>
      <c r="F329" s="133"/>
      <c r="G329" s="133"/>
      <c r="H329" s="133"/>
      <c r="I329" s="133"/>
      <c r="J329" s="133"/>
      <c r="K329" s="154"/>
    </row>
    <row r="330" spans="1:35" x14ac:dyDescent="0.2">
      <c r="A330" s="333"/>
      <c r="B330" s="179"/>
      <c r="C330" s="152"/>
      <c r="D330" s="154"/>
      <c r="E330" s="133">
        <v>2019</v>
      </c>
      <c r="F330" s="133"/>
      <c r="G330" s="133"/>
      <c r="H330" s="133"/>
      <c r="I330" s="133"/>
      <c r="J330" s="133"/>
      <c r="K330" s="154"/>
    </row>
    <row r="331" spans="1:35" x14ac:dyDescent="0.2">
      <c r="A331" s="333"/>
      <c r="B331" s="179"/>
      <c r="C331" s="152"/>
      <c r="D331" s="154"/>
      <c r="E331" s="133">
        <v>2020</v>
      </c>
      <c r="F331" s="133"/>
      <c r="G331" s="133"/>
      <c r="H331" s="133"/>
      <c r="I331" s="133"/>
      <c r="J331" s="133"/>
      <c r="K331" s="154"/>
    </row>
    <row r="332" spans="1:35" ht="13.5" thickBot="1" x14ac:dyDescent="0.25">
      <c r="A332" s="333"/>
      <c r="B332" s="179"/>
      <c r="C332" s="152"/>
      <c r="D332" s="154"/>
      <c r="E332" s="33" t="s">
        <v>18</v>
      </c>
      <c r="F332" s="33"/>
      <c r="G332" s="138"/>
      <c r="H332" s="138"/>
      <c r="I332" s="138"/>
      <c r="J332" s="138"/>
      <c r="K332" s="154"/>
    </row>
    <row r="333" spans="1:35" ht="30" customHeight="1" thickBot="1" x14ac:dyDescent="0.25">
      <c r="A333" s="225" t="s">
        <v>233</v>
      </c>
      <c r="B333" s="328"/>
      <c r="C333" s="328"/>
      <c r="D333" s="328"/>
      <c r="E333" s="328"/>
      <c r="F333" s="328"/>
      <c r="G333" s="328"/>
      <c r="H333" s="328"/>
      <c r="I333" s="328"/>
      <c r="J333" s="328"/>
      <c r="K333" s="32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  <c r="AF333" s="68"/>
      <c r="AG333" s="68"/>
      <c r="AH333" s="68"/>
      <c r="AI333" s="69"/>
    </row>
    <row r="334" spans="1:35" ht="15" thickBot="1" x14ac:dyDescent="0.25">
      <c r="A334" s="329" t="s">
        <v>87</v>
      </c>
      <c r="B334" s="330"/>
      <c r="C334" s="330"/>
      <c r="D334" s="330"/>
      <c r="E334" s="330"/>
      <c r="F334" s="330"/>
      <c r="G334" s="330"/>
      <c r="H334" s="330"/>
      <c r="I334" s="330"/>
      <c r="J334" s="330"/>
      <c r="K334" s="331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  <c r="AB334" s="70"/>
      <c r="AC334" s="70"/>
      <c r="AD334" s="70"/>
      <c r="AE334" s="70"/>
      <c r="AF334" s="70"/>
      <c r="AG334" s="70"/>
      <c r="AH334" s="70"/>
      <c r="AI334" s="71"/>
    </row>
    <row r="335" spans="1:35" ht="12.75" customHeight="1" x14ac:dyDescent="0.2">
      <c r="A335" s="143" t="s">
        <v>40</v>
      </c>
      <c r="B335" s="327" t="s">
        <v>198</v>
      </c>
      <c r="C335" s="167" t="s">
        <v>84</v>
      </c>
      <c r="D335" s="151" t="s">
        <v>257</v>
      </c>
      <c r="E335" s="133">
        <v>2015</v>
      </c>
      <c r="F335" s="14">
        <f t="shared" ref="F335:F340" si="18">SUM(G335:J335)</f>
        <v>44637.9</v>
      </c>
      <c r="G335" s="14"/>
      <c r="H335" s="14"/>
      <c r="I335" s="14">
        <f>49100-1324.1-939.1-30-1573.9-583-12</f>
        <v>44637.9</v>
      </c>
      <c r="J335" s="14"/>
      <c r="K335" s="151" t="s">
        <v>197</v>
      </c>
    </row>
    <row r="336" spans="1:35" x14ac:dyDescent="0.2">
      <c r="A336" s="144"/>
      <c r="B336" s="165"/>
      <c r="C336" s="152"/>
      <c r="D336" s="154"/>
      <c r="E336" s="133">
        <v>2016</v>
      </c>
      <c r="F336" s="14">
        <f t="shared" si="18"/>
        <v>46428</v>
      </c>
      <c r="G336" s="14"/>
      <c r="H336" s="14"/>
      <c r="I336" s="14">
        <f>47428-1000</f>
        <v>46428</v>
      </c>
      <c r="J336" s="14"/>
      <c r="K336" s="154"/>
    </row>
    <row r="337" spans="1:35" x14ac:dyDescent="0.2">
      <c r="A337" s="144"/>
      <c r="B337" s="165"/>
      <c r="C337" s="152"/>
      <c r="D337" s="154"/>
      <c r="E337" s="133">
        <v>2017</v>
      </c>
      <c r="F337" s="14">
        <f t="shared" si="18"/>
        <v>51555</v>
      </c>
      <c r="G337" s="14"/>
      <c r="H337" s="14"/>
      <c r="I337" s="14">
        <v>51555</v>
      </c>
      <c r="J337" s="14"/>
      <c r="K337" s="154"/>
    </row>
    <row r="338" spans="1:35" x14ac:dyDescent="0.2">
      <c r="A338" s="144"/>
      <c r="B338" s="165"/>
      <c r="C338" s="152"/>
      <c r="D338" s="154"/>
      <c r="E338" s="133">
        <v>2018</v>
      </c>
      <c r="F338" s="14">
        <f t="shared" si="18"/>
        <v>63004.7</v>
      </c>
      <c r="G338" s="14"/>
      <c r="H338" s="14"/>
      <c r="I338" s="14">
        <v>63004.7</v>
      </c>
      <c r="J338" s="14"/>
      <c r="K338" s="154"/>
    </row>
    <row r="339" spans="1:35" x14ac:dyDescent="0.2">
      <c r="A339" s="144"/>
      <c r="B339" s="165"/>
      <c r="C339" s="152"/>
      <c r="D339" s="154"/>
      <c r="E339" s="133">
        <v>2019</v>
      </c>
      <c r="F339" s="14">
        <f t="shared" si="18"/>
        <v>66280.899999999994</v>
      </c>
      <c r="G339" s="14"/>
      <c r="H339" s="14"/>
      <c r="I339" s="14">
        <v>66280.899999999994</v>
      </c>
      <c r="J339" s="14"/>
      <c r="K339" s="154"/>
    </row>
    <row r="340" spans="1:35" x14ac:dyDescent="0.2">
      <c r="A340" s="144"/>
      <c r="B340" s="165"/>
      <c r="C340" s="152"/>
      <c r="D340" s="154"/>
      <c r="E340" s="133">
        <v>2020</v>
      </c>
      <c r="F340" s="14">
        <f t="shared" si="18"/>
        <v>70058.899999999994</v>
      </c>
      <c r="G340" s="14"/>
      <c r="H340" s="14"/>
      <c r="I340" s="14">
        <v>70058.899999999994</v>
      </c>
      <c r="J340" s="14"/>
      <c r="K340" s="154"/>
    </row>
    <row r="341" spans="1:35" ht="15.75" customHeight="1" thickBot="1" x14ac:dyDescent="0.25">
      <c r="A341" s="144"/>
      <c r="B341" s="166"/>
      <c r="C341" s="168"/>
      <c r="D341" s="154"/>
      <c r="E341" s="24" t="s">
        <v>18</v>
      </c>
      <c r="F341" s="13">
        <f>SUM(F335:F340)</f>
        <v>341965.4</v>
      </c>
      <c r="G341" s="13"/>
      <c r="H341" s="13">
        <f>SUM(H338:H340)</f>
        <v>0</v>
      </c>
      <c r="I341" s="13">
        <f>SUM(I335:I340)</f>
        <v>341965.4</v>
      </c>
      <c r="J341" s="14"/>
      <c r="K341" s="155"/>
    </row>
    <row r="342" spans="1:35" ht="15" thickBot="1" x14ac:dyDescent="0.25">
      <c r="A342" s="219" t="s">
        <v>89</v>
      </c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31"/>
      <c r="M342" s="72"/>
      <c r="N342" s="72"/>
      <c r="O342" s="72"/>
      <c r="P342" s="72"/>
      <c r="Q342" s="72"/>
      <c r="R342" s="72"/>
      <c r="S342" s="72"/>
      <c r="T342" s="72"/>
      <c r="U342" s="72"/>
      <c r="V342" s="72"/>
      <c r="W342" s="72"/>
      <c r="X342" s="72"/>
      <c r="Y342" s="72"/>
      <c r="Z342" s="72"/>
      <c r="AA342" s="72"/>
      <c r="AB342" s="72"/>
      <c r="AC342" s="72"/>
      <c r="AD342" s="72"/>
      <c r="AE342" s="72"/>
      <c r="AF342" s="72"/>
      <c r="AG342" s="72"/>
      <c r="AH342" s="72"/>
      <c r="AI342" s="73"/>
    </row>
    <row r="343" spans="1:35" x14ac:dyDescent="0.2">
      <c r="A343" s="325" t="s">
        <v>81</v>
      </c>
      <c r="B343" s="327" t="s">
        <v>199</v>
      </c>
      <c r="C343" s="167" t="s">
        <v>84</v>
      </c>
      <c r="D343" s="151" t="s">
        <v>257</v>
      </c>
      <c r="E343" s="133">
        <v>2015</v>
      </c>
      <c r="F343" s="14"/>
      <c r="G343" s="14"/>
      <c r="H343" s="14"/>
      <c r="I343" s="14"/>
      <c r="J343" s="14"/>
      <c r="K343" s="151" t="s">
        <v>200</v>
      </c>
      <c r="L343" s="35"/>
    </row>
    <row r="344" spans="1:35" x14ac:dyDescent="0.2">
      <c r="A344" s="326"/>
      <c r="B344" s="165"/>
      <c r="C344" s="152"/>
      <c r="D344" s="154"/>
      <c r="E344" s="133">
        <v>2016</v>
      </c>
      <c r="F344" s="14"/>
      <c r="G344" s="14"/>
      <c r="H344" s="14"/>
      <c r="I344" s="14"/>
      <c r="J344" s="14"/>
      <c r="K344" s="154"/>
    </row>
    <row r="345" spans="1:35" x14ac:dyDescent="0.2">
      <c r="A345" s="326"/>
      <c r="B345" s="165"/>
      <c r="C345" s="152"/>
      <c r="D345" s="154"/>
      <c r="E345" s="133">
        <v>2017</v>
      </c>
      <c r="F345" s="14"/>
      <c r="G345" s="14"/>
      <c r="H345" s="14"/>
      <c r="I345" s="14"/>
      <c r="J345" s="14"/>
      <c r="K345" s="154"/>
    </row>
    <row r="346" spans="1:35" x14ac:dyDescent="0.2">
      <c r="A346" s="326"/>
      <c r="B346" s="165"/>
      <c r="C346" s="152"/>
      <c r="D346" s="154"/>
      <c r="E346" s="133">
        <v>2018</v>
      </c>
      <c r="F346" s="14">
        <f>SUM(G346:J346)</f>
        <v>470</v>
      </c>
      <c r="G346" s="14"/>
      <c r="H346" s="14"/>
      <c r="I346" s="14"/>
      <c r="J346" s="14">
        <v>470</v>
      </c>
      <c r="K346" s="154"/>
    </row>
    <row r="347" spans="1:35" x14ac:dyDescent="0.2">
      <c r="A347" s="326"/>
      <c r="B347" s="165"/>
      <c r="C347" s="152"/>
      <c r="D347" s="154"/>
      <c r="E347" s="133">
        <v>2019</v>
      </c>
      <c r="F347" s="14">
        <f>SUM(G347:J347)</f>
        <v>500</v>
      </c>
      <c r="G347" s="14"/>
      <c r="H347" s="14"/>
      <c r="I347" s="14"/>
      <c r="J347" s="14">
        <v>500</v>
      </c>
      <c r="K347" s="154"/>
    </row>
    <row r="348" spans="1:35" x14ac:dyDescent="0.2">
      <c r="A348" s="326"/>
      <c r="B348" s="165"/>
      <c r="C348" s="152"/>
      <c r="D348" s="154"/>
      <c r="E348" s="133">
        <v>2020</v>
      </c>
      <c r="F348" s="14">
        <f>SUM(G348:J348)</f>
        <v>535</v>
      </c>
      <c r="G348" s="14"/>
      <c r="H348" s="14"/>
      <c r="I348" s="14"/>
      <c r="J348" s="14">
        <v>535</v>
      </c>
      <c r="K348" s="154"/>
    </row>
    <row r="349" spans="1:35" ht="13.5" thickBot="1" x14ac:dyDescent="0.25">
      <c r="A349" s="326"/>
      <c r="B349" s="165"/>
      <c r="C349" s="168"/>
      <c r="D349" s="154"/>
      <c r="E349" s="24" t="s">
        <v>18</v>
      </c>
      <c r="F349" s="13">
        <f>SUM(F343:F348)</f>
        <v>1505</v>
      </c>
      <c r="G349" s="14"/>
      <c r="H349" s="14"/>
      <c r="I349" s="14"/>
      <c r="J349" s="13">
        <f>SUM(J343:J348)</f>
        <v>1505</v>
      </c>
      <c r="K349" s="155"/>
    </row>
    <row r="350" spans="1:35" x14ac:dyDescent="0.2">
      <c r="A350" s="337" t="s">
        <v>90</v>
      </c>
      <c r="B350" s="185" t="s">
        <v>201</v>
      </c>
      <c r="C350" s="167" t="s">
        <v>84</v>
      </c>
      <c r="D350" s="151" t="s">
        <v>257</v>
      </c>
      <c r="E350" s="139">
        <v>2015</v>
      </c>
      <c r="F350" s="12"/>
      <c r="G350" s="12"/>
      <c r="H350" s="12"/>
      <c r="I350" s="12"/>
      <c r="J350" s="12"/>
      <c r="K350" s="151" t="s">
        <v>200</v>
      </c>
    </row>
    <row r="351" spans="1:35" x14ac:dyDescent="0.2">
      <c r="A351" s="335"/>
      <c r="B351" s="165"/>
      <c r="C351" s="152"/>
      <c r="D351" s="154"/>
      <c r="E351" s="133">
        <v>2016</v>
      </c>
      <c r="F351" s="14"/>
      <c r="G351" s="14"/>
      <c r="H351" s="14"/>
      <c r="I351" s="14"/>
      <c r="J351" s="14"/>
      <c r="K351" s="154"/>
    </row>
    <row r="352" spans="1:35" x14ac:dyDescent="0.2">
      <c r="A352" s="335"/>
      <c r="B352" s="165"/>
      <c r="C352" s="152"/>
      <c r="D352" s="154"/>
      <c r="E352" s="133">
        <v>2017</v>
      </c>
      <c r="F352" s="14"/>
      <c r="G352" s="14"/>
      <c r="H352" s="14"/>
      <c r="I352" s="14"/>
      <c r="J352" s="14"/>
      <c r="K352" s="154"/>
    </row>
    <row r="353" spans="1:11" x14ac:dyDescent="0.2">
      <c r="A353" s="335"/>
      <c r="B353" s="165"/>
      <c r="C353" s="152"/>
      <c r="D353" s="154"/>
      <c r="E353" s="133">
        <v>2018</v>
      </c>
      <c r="F353" s="14">
        <f>SUM(G353:J353)</f>
        <v>540</v>
      </c>
      <c r="G353" s="14"/>
      <c r="H353" s="14"/>
      <c r="I353" s="14"/>
      <c r="J353" s="14">
        <v>540</v>
      </c>
      <c r="K353" s="154"/>
    </row>
    <row r="354" spans="1:11" x14ac:dyDescent="0.2">
      <c r="A354" s="335"/>
      <c r="B354" s="165"/>
      <c r="C354" s="152"/>
      <c r="D354" s="154"/>
      <c r="E354" s="133">
        <v>2019</v>
      </c>
      <c r="F354" s="14">
        <f>SUM(G354:J354)</f>
        <v>570</v>
      </c>
      <c r="G354" s="14"/>
      <c r="H354" s="14"/>
      <c r="I354" s="14"/>
      <c r="J354" s="14">
        <v>570</v>
      </c>
      <c r="K354" s="154"/>
    </row>
    <row r="355" spans="1:11" x14ac:dyDescent="0.2">
      <c r="A355" s="335"/>
      <c r="B355" s="165"/>
      <c r="C355" s="152"/>
      <c r="D355" s="154"/>
      <c r="E355" s="133">
        <v>2020</v>
      </c>
      <c r="F355" s="14">
        <f>SUM(G355:J355)</f>
        <v>600</v>
      </c>
      <c r="G355" s="14"/>
      <c r="H355" s="14"/>
      <c r="I355" s="14"/>
      <c r="J355" s="14">
        <v>600</v>
      </c>
      <c r="K355" s="154"/>
    </row>
    <row r="356" spans="1:11" x14ac:dyDescent="0.2">
      <c r="A356" s="338"/>
      <c r="B356" s="166"/>
      <c r="C356" s="152"/>
      <c r="D356" s="154"/>
      <c r="E356" s="33" t="s">
        <v>18</v>
      </c>
      <c r="F356" s="52">
        <f>SUM(F353:F355)</f>
        <v>1710</v>
      </c>
      <c r="G356" s="28"/>
      <c r="H356" s="28"/>
      <c r="I356" s="28"/>
      <c r="J356" s="52">
        <f>SUM(J350:J355)</f>
        <v>1710</v>
      </c>
      <c r="K356" s="154"/>
    </row>
    <row r="357" spans="1:11" x14ac:dyDescent="0.2">
      <c r="A357" s="334" t="s">
        <v>155</v>
      </c>
      <c r="B357" s="336" t="s">
        <v>267</v>
      </c>
      <c r="C357" s="167" t="s">
        <v>84</v>
      </c>
      <c r="D357" s="151" t="s">
        <v>257</v>
      </c>
      <c r="E357" s="133">
        <v>2015</v>
      </c>
      <c r="F357" s="14">
        <f t="shared" ref="F357:F362" si="19">SUM(G357:I357)</f>
        <v>1364.4</v>
      </c>
      <c r="G357" s="14"/>
      <c r="H357" s="14"/>
      <c r="I357" s="14">
        <f>1322.4+30+12</f>
        <v>1364.4</v>
      </c>
      <c r="J357" s="14"/>
      <c r="K357" s="151" t="s">
        <v>174</v>
      </c>
    </row>
    <row r="358" spans="1:11" x14ac:dyDescent="0.2">
      <c r="A358" s="335"/>
      <c r="B358" s="195"/>
      <c r="C358" s="152"/>
      <c r="D358" s="154"/>
      <c r="E358" s="133">
        <v>2016</v>
      </c>
      <c r="F358" s="12">
        <f t="shared" si="19"/>
        <v>1322.4</v>
      </c>
      <c r="G358" s="14"/>
      <c r="H358" s="14"/>
      <c r="I358" s="14">
        <v>1322.4</v>
      </c>
      <c r="J358" s="14"/>
      <c r="K358" s="154"/>
    </row>
    <row r="359" spans="1:11" x14ac:dyDescent="0.2">
      <c r="A359" s="335"/>
      <c r="B359" s="195"/>
      <c r="C359" s="152"/>
      <c r="D359" s="154"/>
      <c r="E359" s="133">
        <v>2017</v>
      </c>
      <c r="F359" s="12">
        <f t="shared" si="19"/>
        <v>1322.4</v>
      </c>
      <c r="G359" s="14"/>
      <c r="H359" s="14"/>
      <c r="I359" s="14">
        <v>1322.4</v>
      </c>
      <c r="J359" s="14"/>
      <c r="K359" s="154"/>
    </row>
    <row r="360" spans="1:11" x14ac:dyDescent="0.2">
      <c r="A360" s="335"/>
      <c r="B360" s="195"/>
      <c r="C360" s="152"/>
      <c r="D360" s="154"/>
      <c r="E360" s="133">
        <v>2018</v>
      </c>
      <c r="F360" s="12">
        <f t="shared" si="19"/>
        <v>1312</v>
      </c>
      <c r="G360" s="14"/>
      <c r="H360" s="14"/>
      <c r="I360" s="14">
        <v>1312</v>
      </c>
      <c r="J360" s="14"/>
      <c r="K360" s="154"/>
    </row>
    <row r="361" spans="1:11" x14ac:dyDescent="0.2">
      <c r="A361" s="335"/>
      <c r="B361" s="195"/>
      <c r="C361" s="152"/>
      <c r="D361" s="154"/>
      <c r="E361" s="133">
        <v>2019</v>
      </c>
      <c r="F361" s="12">
        <f t="shared" si="19"/>
        <v>1292.3</v>
      </c>
      <c r="G361" s="14"/>
      <c r="H361" s="14"/>
      <c r="I361" s="14">
        <v>1292.3</v>
      </c>
      <c r="J361" s="14"/>
      <c r="K361" s="154"/>
    </row>
    <row r="362" spans="1:11" x14ac:dyDescent="0.2">
      <c r="A362" s="335"/>
      <c r="B362" s="195"/>
      <c r="C362" s="152"/>
      <c r="D362" s="154"/>
      <c r="E362" s="133">
        <v>2020</v>
      </c>
      <c r="F362" s="12">
        <f t="shared" si="19"/>
        <v>1236.0999999999999</v>
      </c>
      <c r="G362" s="14"/>
      <c r="H362" s="14"/>
      <c r="I362" s="14">
        <v>1236.0999999999999</v>
      </c>
      <c r="J362" s="14"/>
      <c r="K362" s="154"/>
    </row>
    <row r="363" spans="1:11" x14ac:dyDescent="0.2">
      <c r="A363" s="335"/>
      <c r="B363" s="195"/>
      <c r="C363" s="153"/>
      <c r="D363" s="155"/>
      <c r="E363" s="24" t="s">
        <v>18</v>
      </c>
      <c r="F363" s="13">
        <f>SUM(F357:F362)</f>
        <v>7849.6</v>
      </c>
      <c r="G363" s="14"/>
      <c r="H363" s="14"/>
      <c r="I363" s="13">
        <f>SUM(I357:I362)</f>
        <v>7849.6</v>
      </c>
      <c r="J363" s="14"/>
      <c r="K363" s="155"/>
    </row>
    <row r="364" spans="1:11" x14ac:dyDescent="0.2">
      <c r="A364" s="334" t="s">
        <v>156</v>
      </c>
      <c r="B364" s="336" t="s">
        <v>262</v>
      </c>
      <c r="C364" s="167" t="s">
        <v>84</v>
      </c>
      <c r="D364" s="151" t="s">
        <v>257</v>
      </c>
      <c r="E364" s="133">
        <v>2015</v>
      </c>
      <c r="F364" s="14">
        <f>H364+I364</f>
        <v>260.60000000000002</v>
      </c>
      <c r="G364" s="14"/>
      <c r="H364" s="14">
        <v>230</v>
      </c>
      <c r="I364" s="14">
        <v>30.6</v>
      </c>
      <c r="J364" s="14"/>
      <c r="K364" s="151" t="s">
        <v>202</v>
      </c>
    </row>
    <row r="365" spans="1:11" x14ac:dyDescent="0.2">
      <c r="A365" s="335"/>
      <c r="B365" s="195"/>
      <c r="C365" s="152"/>
      <c r="D365" s="154"/>
      <c r="E365" s="133">
        <v>2016</v>
      </c>
      <c r="F365" s="12"/>
      <c r="G365" s="14"/>
      <c r="H365" s="14"/>
      <c r="I365" s="14"/>
      <c r="J365" s="14"/>
      <c r="K365" s="154"/>
    </row>
    <row r="366" spans="1:11" x14ac:dyDescent="0.2">
      <c r="A366" s="335"/>
      <c r="B366" s="195"/>
      <c r="C366" s="152"/>
      <c r="D366" s="154"/>
      <c r="E366" s="133">
        <v>2017</v>
      </c>
      <c r="F366" s="12"/>
      <c r="G366" s="14"/>
      <c r="H366" s="14"/>
      <c r="I366" s="14"/>
      <c r="J366" s="14"/>
      <c r="K366" s="154"/>
    </row>
    <row r="367" spans="1:11" x14ac:dyDescent="0.2">
      <c r="A367" s="335"/>
      <c r="B367" s="195"/>
      <c r="C367" s="152"/>
      <c r="D367" s="154"/>
      <c r="E367" s="133">
        <v>2018</v>
      </c>
      <c r="F367" s="12"/>
      <c r="G367" s="14"/>
      <c r="H367" s="14"/>
      <c r="I367" s="14"/>
      <c r="J367" s="14"/>
      <c r="K367" s="154"/>
    </row>
    <row r="368" spans="1:11" x14ac:dyDescent="0.2">
      <c r="A368" s="335"/>
      <c r="B368" s="195"/>
      <c r="C368" s="152"/>
      <c r="D368" s="154"/>
      <c r="E368" s="133">
        <v>2019</v>
      </c>
      <c r="F368" s="12"/>
      <c r="G368" s="14"/>
      <c r="H368" s="14"/>
      <c r="I368" s="14"/>
      <c r="J368" s="14"/>
      <c r="K368" s="154"/>
    </row>
    <row r="369" spans="1:35" x14ac:dyDescent="0.2">
      <c r="A369" s="335"/>
      <c r="B369" s="195"/>
      <c r="C369" s="152"/>
      <c r="D369" s="154"/>
      <c r="E369" s="133">
        <v>2020</v>
      </c>
      <c r="F369" s="12"/>
      <c r="G369" s="14"/>
      <c r="H369" s="14"/>
      <c r="I369" s="14"/>
      <c r="J369" s="14"/>
      <c r="K369" s="154"/>
    </row>
    <row r="370" spans="1:35" x14ac:dyDescent="0.2">
      <c r="A370" s="335"/>
      <c r="B370" s="195"/>
      <c r="C370" s="153"/>
      <c r="D370" s="155"/>
      <c r="E370" s="24" t="s">
        <v>18</v>
      </c>
      <c r="F370" s="13">
        <f>SUM(F364:F369)</f>
        <v>260.60000000000002</v>
      </c>
      <c r="G370" s="14"/>
      <c r="H370" s="13">
        <f>H369+H368+H367+H366+H364+H365</f>
        <v>230</v>
      </c>
      <c r="I370" s="13">
        <f>SUM(I364:I369)</f>
        <v>30.6</v>
      </c>
      <c r="J370" s="14"/>
      <c r="K370" s="155"/>
    </row>
    <row r="371" spans="1:35" ht="15" customHeight="1" x14ac:dyDescent="0.2">
      <c r="A371" s="340" t="s">
        <v>162</v>
      </c>
      <c r="B371" s="184" t="s">
        <v>161</v>
      </c>
      <c r="C371" s="181" t="s">
        <v>263</v>
      </c>
      <c r="D371" s="154" t="s">
        <v>257</v>
      </c>
      <c r="E371" s="139">
        <v>2016</v>
      </c>
      <c r="F371" s="116">
        <f>G371+H371+I371</f>
        <v>445</v>
      </c>
      <c r="G371" s="117"/>
      <c r="H371" s="117"/>
      <c r="I371" s="116">
        <v>445</v>
      </c>
      <c r="J371" s="116"/>
      <c r="K371" s="154" t="s">
        <v>176</v>
      </c>
    </row>
    <row r="372" spans="1:35" ht="12.75" customHeight="1" x14ac:dyDescent="0.2">
      <c r="A372" s="340"/>
      <c r="B372" s="184"/>
      <c r="C372" s="181"/>
      <c r="D372" s="154"/>
      <c r="E372" s="133">
        <v>2017</v>
      </c>
      <c r="F372" s="52"/>
      <c r="G372" s="52"/>
      <c r="H372" s="52"/>
      <c r="I372" s="52"/>
      <c r="J372" s="28"/>
      <c r="K372" s="154"/>
    </row>
    <row r="373" spans="1:35" ht="15" customHeight="1" x14ac:dyDescent="0.2">
      <c r="A373" s="340"/>
      <c r="B373" s="184"/>
      <c r="C373" s="181"/>
      <c r="D373" s="154"/>
      <c r="E373" s="133">
        <v>2018</v>
      </c>
      <c r="F373" s="52"/>
      <c r="G373" s="52"/>
      <c r="H373" s="52"/>
      <c r="I373" s="52"/>
      <c r="J373" s="28"/>
      <c r="K373" s="154"/>
    </row>
    <row r="374" spans="1:35" ht="13.5" customHeight="1" x14ac:dyDescent="0.2">
      <c r="A374" s="340"/>
      <c r="B374" s="184"/>
      <c r="C374" s="181"/>
      <c r="D374" s="154"/>
      <c r="E374" s="133">
        <v>2019</v>
      </c>
      <c r="F374" s="52"/>
      <c r="G374" s="52"/>
      <c r="H374" s="52"/>
      <c r="I374" s="52"/>
      <c r="J374" s="28"/>
      <c r="K374" s="154"/>
    </row>
    <row r="375" spans="1:35" ht="12.75" customHeight="1" x14ac:dyDescent="0.2">
      <c r="A375" s="340"/>
      <c r="B375" s="184"/>
      <c r="C375" s="181"/>
      <c r="D375" s="154"/>
      <c r="E375" s="133">
        <v>2020</v>
      </c>
      <c r="F375" s="52"/>
      <c r="G375" s="52"/>
      <c r="H375" s="52"/>
      <c r="I375" s="52"/>
      <c r="J375" s="28"/>
      <c r="K375" s="154"/>
    </row>
    <row r="376" spans="1:35" ht="21" customHeight="1" thickBot="1" x14ac:dyDescent="0.25">
      <c r="A376" s="341"/>
      <c r="B376" s="185"/>
      <c r="C376" s="182"/>
      <c r="D376" s="155"/>
      <c r="E376" s="33" t="s">
        <v>18</v>
      </c>
      <c r="F376" s="52">
        <f>G376+H376+I376</f>
        <v>445</v>
      </c>
      <c r="G376" s="52"/>
      <c r="H376" s="52"/>
      <c r="I376" s="52">
        <f>SUM(I371:I375)</f>
        <v>445</v>
      </c>
      <c r="J376" s="28"/>
      <c r="K376" s="155"/>
    </row>
    <row r="377" spans="1:35" ht="26.25" thickBot="1" x14ac:dyDescent="0.25">
      <c r="A377" s="252" t="s">
        <v>222</v>
      </c>
      <c r="B377" s="253"/>
      <c r="C377" s="253"/>
      <c r="D377" s="254"/>
      <c r="E377" s="6" t="s">
        <v>75</v>
      </c>
      <c r="F377" s="17">
        <f>SUM(G377:J377)</f>
        <v>353735.6</v>
      </c>
      <c r="G377" s="19">
        <f>G341+G349+G356+G363</f>
        <v>0</v>
      </c>
      <c r="H377" s="17">
        <f>H341+H349+H356+H363+H332+H370</f>
        <v>230</v>
      </c>
      <c r="I377" s="17">
        <f>I341+I349+I356+I363+I332+I370+I376</f>
        <v>350290.6</v>
      </c>
      <c r="J377" s="19">
        <f>J341+J349+J356+J363+J332</f>
        <v>3215</v>
      </c>
      <c r="K377" s="6"/>
      <c r="L377" s="57"/>
      <c r="M377" s="57"/>
      <c r="N377" s="74"/>
    </row>
    <row r="378" spans="1:35" ht="32.25" customHeight="1" thickBot="1" x14ac:dyDescent="0.3">
      <c r="A378" s="219" t="s">
        <v>91</v>
      </c>
      <c r="B378" s="165"/>
      <c r="C378" s="165"/>
      <c r="D378" s="165"/>
      <c r="E378" s="165"/>
      <c r="F378" s="165"/>
      <c r="G378" s="165"/>
      <c r="H378" s="165"/>
      <c r="I378" s="165"/>
      <c r="J378" s="165"/>
      <c r="K378" s="165"/>
      <c r="L378" s="75"/>
      <c r="M378" s="75"/>
      <c r="N378" s="75"/>
      <c r="O378" s="75"/>
      <c r="P378" s="75"/>
      <c r="Q378" s="75"/>
      <c r="R378" s="75"/>
      <c r="S378" s="75"/>
      <c r="T378" s="75"/>
      <c r="U378" s="75"/>
      <c r="V378" s="75"/>
      <c r="W378" s="75"/>
      <c r="X378" s="75"/>
      <c r="Y378" s="75"/>
      <c r="Z378" s="75"/>
      <c r="AA378" s="75"/>
      <c r="AB378" s="75"/>
      <c r="AC378" s="75"/>
      <c r="AD378" s="75"/>
      <c r="AE378" s="75"/>
      <c r="AF378" s="75"/>
      <c r="AG378" s="75"/>
      <c r="AH378" s="75"/>
      <c r="AI378" s="76"/>
    </row>
    <row r="379" spans="1:35" ht="15" thickBot="1" x14ac:dyDescent="0.25">
      <c r="A379" s="339" t="s">
        <v>92</v>
      </c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72"/>
      <c r="M379" s="72"/>
      <c r="N379" s="72"/>
      <c r="O379" s="72"/>
      <c r="P379" s="72"/>
      <c r="Q379" s="72"/>
      <c r="R379" s="72"/>
      <c r="S379" s="72"/>
      <c r="T379" s="72"/>
      <c r="U379" s="72"/>
      <c r="V379" s="72"/>
      <c r="W379" s="72"/>
      <c r="X379" s="72"/>
      <c r="Y379" s="72"/>
      <c r="Z379" s="72"/>
      <c r="AA379" s="72"/>
      <c r="AB379" s="72"/>
      <c r="AC379" s="72"/>
      <c r="AD379" s="72"/>
      <c r="AE379" s="72"/>
      <c r="AF379" s="72"/>
      <c r="AG379" s="72"/>
      <c r="AH379" s="72"/>
      <c r="AI379" s="73"/>
    </row>
    <row r="380" spans="1:35" ht="12.75" customHeight="1" x14ac:dyDescent="0.2">
      <c r="A380" s="345" t="s">
        <v>114</v>
      </c>
      <c r="B380" s="342" t="s">
        <v>203</v>
      </c>
      <c r="C380" s="167" t="s">
        <v>84</v>
      </c>
      <c r="D380" s="151" t="s">
        <v>257</v>
      </c>
      <c r="E380" s="133">
        <v>2015</v>
      </c>
      <c r="F380" s="97">
        <f t="shared" ref="F380:F385" si="20">SUM(G380:I380)</f>
        <v>25</v>
      </c>
      <c r="G380" s="14"/>
      <c r="H380" s="14"/>
      <c r="I380" s="14">
        <v>25</v>
      </c>
      <c r="J380" s="14"/>
      <c r="K380" s="151" t="s">
        <v>205</v>
      </c>
    </row>
    <row r="381" spans="1:35" x14ac:dyDescent="0.2">
      <c r="A381" s="346"/>
      <c r="B381" s="343"/>
      <c r="C381" s="152"/>
      <c r="D381" s="152"/>
      <c r="E381" s="133">
        <v>2016</v>
      </c>
      <c r="F381" s="97">
        <f t="shared" si="20"/>
        <v>26.3</v>
      </c>
      <c r="G381" s="14"/>
      <c r="H381" s="14"/>
      <c r="I381" s="14">
        <v>26.3</v>
      </c>
      <c r="J381" s="14"/>
      <c r="K381" s="154"/>
    </row>
    <row r="382" spans="1:35" x14ac:dyDescent="0.2">
      <c r="A382" s="346"/>
      <c r="B382" s="343"/>
      <c r="C382" s="152"/>
      <c r="D382" s="152"/>
      <c r="E382" s="133">
        <v>2017</v>
      </c>
      <c r="F382" s="97">
        <f t="shared" si="20"/>
        <v>27</v>
      </c>
      <c r="G382" s="14"/>
      <c r="H382" s="14"/>
      <c r="I382" s="14">
        <v>27</v>
      </c>
      <c r="J382" s="14"/>
      <c r="K382" s="154"/>
    </row>
    <row r="383" spans="1:35" x14ac:dyDescent="0.2">
      <c r="A383" s="346"/>
      <c r="B383" s="343"/>
      <c r="C383" s="152"/>
      <c r="D383" s="152"/>
      <c r="E383" s="133">
        <v>2018</v>
      </c>
      <c r="F383" s="97">
        <f t="shared" si="20"/>
        <v>27.9</v>
      </c>
      <c r="G383" s="14"/>
      <c r="H383" s="14"/>
      <c r="I383" s="14">
        <v>27.9</v>
      </c>
      <c r="J383" s="14"/>
      <c r="K383" s="154"/>
    </row>
    <row r="384" spans="1:35" x14ac:dyDescent="0.2">
      <c r="A384" s="346"/>
      <c r="B384" s="343"/>
      <c r="C384" s="152"/>
      <c r="D384" s="152"/>
      <c r="E384" s="133">
        <v>2019</v>
      </c>
      <c r="F384" s="97">
        <f t="shared" si="20"/>
        <v>29</v>
      </c>
      <c r="G384" s="14"/>
      <c r="H384" s="14"/>
      <c r="I384" s="14">
        <v>29</v>
      </c>
      <c r="J384" s="14"/>
      <c r="K384" s="154"/>
    </row>
    <row r="385" spans="1:11" x14ac:dyDescent="0.2">
      <c r="A385" s="346"/>
      <c r="B385" s="343"/>
      <c r="C385" s="152"/>
      <c r="D385" s="152"/>
      <c r="E385" s="133">
        <v>2020</v>
      </c>
      <c r="F385" s="97">
        <f t="shared" si="20"/>
        <v>30</v>
      </c>
      <c r="G385" s="13"/>
      <c r="H385" s="13"/>
      <c r="I385" s="14">
        <v>30</v>
      </c>
      <c r="J385" s="13"/>
      <c r="K385" s="154"/>
    </row>
    <row r="386" spans="1:11" ht="13.5" thickBot="1" x14ac:dyDescent="0.25">
      <c r="A386" s="347"/>
      <c r="B386" s="344"/>
      <c r="C386" s="168"/>
      <c r="D386" s="153"/>
      <c r="E386" s="24" t="s">
        <v>18</v>
      </c>
      <c r="F386" s="20">
        <f>SUM(F380:F385)</f>
        <v>165.2</v>
      </c>
      <c r="G386" s="13"/>
      <c r="H386" s="13"/>
      <c r="I386" s="13">
        <f>SUM(I380:I385)</f>
        <v>165.2</v>
      </c>
      <c r="J386" s="13"/>
      <c r="K386" s="154"/>
    </row>
    <row r="387" spans="1:11" x14ac:dyDescent="0.2">
      <c r="A387" s="345" t="s">
        <v>83</v>
      </c>
      <c r="B387" s="342" t="s">
        <v>268</v>
      </c>
      <c r="C387" s="167" t="s">
        <v>84</v>
      </c>
      <c r="D387" s="151" t="s">
        <v>257</v>
      </c>
      <c r="E387" s="133">
        <v>2015</v>
      </c>
      <c r="F387" s="97">
        <f t="shared" ref="F387:F392" si="21">SUM(G387:I387)</f>
        <v>15</v>
      </c>
      <c r="G387" s="14"/>
      <c r="H387" s="14"/>
      <c r="I387" s="14">
        <v>15</v>
      </c>
      <c r="J387" s="14"/>
      <c r="K387" s="154"/>
    </row>
    <row r="388" spans="1:11" x14ac:dyDescent="0.2">
      <c r="A388" s="346"/>
      <c r="B388" s="343"/>
      <c r="C388" s="152"/>
      <c r="D388" s="152"/>
      <c r="E388" s="133">
        <v>2016</v>
      </c>
      <c r="F388" s="97">
        <f t="shared" si="21"/>
        <v>16</v>
      </c>
      <c r="G388" s="14"/>
      <c r="H388" s="14"/>
      <c r="I388" s="14">
        <v>16</v>
      </c>
      <c r="J388" s="14"/>
      <c r="K388" s="154"/>
    </row>
    <row r="389" spans="1:11" x14ac:dyDescent="0.2">
      <c r="A389" s="346"/>
      <c r="B389" s="343"/>
      <c r="C389" s="152"/>
      <c r="D389" s="152"/>
      <c r="E389" s="133">
        <v>2017</v>
      </c>
      <c r="F389" s="97">
        <f t="shared" si="21"/>
        <v>18</v>
      </c>
      <c r="G389" s="14"/>
      <c r="H389" s="14"/>
      <c r="I389" s="14">
        <v>18</v>
      </c>
      <c r="J389" s="14"/>
      <c r="K389" s="154"/>
    </row>
    <row r="390" spans="1:11" x14ac:dyDescent="0.2">
      <c r="A390" s="346"/>
      <c r="B390" s="343"/>
      <c r="C390" s="152"/>
      <c r="D390" s="152"/>
      <c r="E390" s="133">
        <v>2018</v>
      </c>
      <c r="F390" s="97">
        <f t="shared" si="21"/>
        <v>19.5</v>
      </c>
      <c r="G390" s="14"/>
      <c r="H390" s="14"/>
      <c r="I390" s="14">
        <v>19.5</v>
      </c>
      <c r="J390" s="14"/>
      <c r="K390" s="154"/>
    </row>
    <row r="391" spans="1:11" x14ac:dyDescent="0.2">
      <c r="A391" s="346"/>
      <c r="B391" s="343"/>
      <c r="C391" s="152"/>
      <c r="D391" s="152"/>
      <c r="E391" s="133">
        <v>2019</v>
      </c>
      <c r="F391" s="97">
        <f t="shared" si="21"/>
        <v>20.5</v>
      </c>
      <c r="G391" s="14"/>
      <c r="H391" s="14"/>
      <c r="I391" s="14">
        <v>20.5</v>
      </c>
      <c r="J391" s="14"/>
      <c r="K391" s="154"/>
    </row>
    <row r="392" spans="1:11" x14ac:dyDescent="0.2">
      <c r="A392" s="346"/>
      <c r="B392" s="343"/>
      <c r="C392" s="152"/>
      <c r="D392" s="152"/>
      <c r="E392" s="133">
        <v>2020</v>
      </c>
      <c r="F392" s="97">
        <f t="shared" si="21"/>
        <v>22</v>
      </c>
      <c r="G392" s="13"/>
      <c r="H392" s="13"/>
      <c r="I392" s="14">
        <v>22</v>
      </c>
      <c r="J392" s="13"/>
      <c r="K392" s="154"/>
    </row>
    <row r="393" spans="1:11" ht="13.5" thickBot="1" x14ac:dyDescent="0.25">
      <c r="A393" s="347"/>
      <c r="B393" s="344"/>
      <c r="C393" s="168"/>
      <c r="D393" s="153"/>
      <c r="E393" s="24" t="s">
        <v>18</v>
      </c>
      <c r="F393" s="20">
        <f>SUM(F387:F392)</f>
        <v>111</v>
      </c>
      <c r="G393" s="13"/>
      <c r="H393" s="13"/>
      <c r="I393" s="13">
        <f>SUM(I387:I392)</f>
        <v>111</v>
      </c>
      <c r="J393" s="13"/>
      <c r="K393" s="155"/>
    </row>
    <row r="394" spans="1:11" ht="14.25" x14ac:dyDescent="0.2">
      <c r="A394" s="219" t="s">
        <v>93</v>
      </c>
      <c r="B394" s="165"/>
      <c r="C394" s="165"/>
      <c r="D394" s="165"/>
      <c r="E394" s="165"/>
      <c r="F394" s="165"/>
      <c r="G394" s="165"/>
      <c r="H394" s="165"/>
      <c r="I394" s="165"/>
      <c r="J394" s="165"/>
      <c r="K394" s="165"/>
    </row>
    <row r="395" spans="1:11" x14ac:dyDescent="0.2">
      <c r="A395" s="353" t="s">
        <v>53</v>
      </c>
      <c r="B395" s="356" t="s">
        <v>170</v>
      </c>
      <c r="C395" s="167" t="s">
        <v>84</v>
      </c>
      <c r="D395" s="151" t="s">
        <v>257</v>
      </c>
      <c r="E395" s="133">
        <v>2015</v>
      </c>
      <c r="F395" s="97">
        <f t="shared" ref="F395:F400" si="22">SUM(G395:I395)</f>
        <v>10</v>
      </c>
      <c r="G395" s="14"/>
      <c r="H395" s="14"/>
      <c r="I395" s="14">
        <v>10</v>
      </c>
      <c r="J395" s="14"/>
      <c r="K395" s="151" t="s">
        <v>204</v>
      </c>
    </row>
    <row r="396" spans="1:11" x14ac:dyDescent="0.2">
      <c r="A396" s="354"/>
      <c r="B396" s="177"/>
      <c r="C396" s="152"/>
      <c r="D396" s="152"/>
      <c r="E396" s="133">
        <v>2016</v>
      </c>
      <c r="F396" s="97">
        <f t="shared" si="22"/>
        <v>11</v>
      </c>
      <c r="G396" s="14"/>
      <c r="H396" s="14"/>
      <c r="I396" s="14">
        <v>11</v>
      </c>
      <c r="J396" s="14"/>
      <c r="K396" s="154"/>
    </row>
    <row r="397" spans="1:11" x14ac:dyDescent="0.2">
      <c r="A397" s="354"/>
      <c r="B397" s="177"/>
      <c r="C397" s="152"/>
      <c r="D397" s="152"/>
      <c r="E397" s="133">
        <v>2017</v>
      </c>
      <c r="F397" s="97">
        <f t="shared" si="22"/>
        <v>12</v>
      </c>
      <c r="G397" s="14"/>
      <c r="H397" s="14"/>
      <c r="I397" s="14">
        <v>12</v>
      </c>
      <c r="J397" s="14"/>
      <c r="K397" s="154"/>
    </row>
    <row r="398" spans="1:11" x14ac:dyDescent="0.2">
      <c r="A398" s="354"/>
      <c r="B398" s="177"/>
      <c r="C398" s="152"/>
      <c r="D398" s="152"/>
      <c r="E398" s="133">
        <v>2018</v>
      </c>
      <c r="F398" s="97">
        <f t="shared" si="22"/>
        <v>13</v>
      </c>
      <c r="G398" s="14"/>
      <c r="H398" s="14"/>
      <c r="I398" s="14">
        <v>13</v>
      </c>
      <c r="J398" s="14"/>
      <c r="K398" s="154"/>
    </row>
    <row r="399" spans="1:11" x14ac:dyDescent="0.2">
      <c r="A399" s="354"/>
      <c r="B399" s="177"/>
      <c r="C399" s="152"/>
      <c r="D399" s="152"/>
      <c r="E399" s="133">
        <v>2019</v>
      </c>
      <c r="F399" s="97">
        <f t="shared" si="22"/>
        <v>14</v>
      </c>
      <c r="G399" s="14"/>
      <c r="H399" s="14"/>
      <c r="I399" s="14">
        <v>14</v>
      </c>
      <c r="J399" s="14"/>
      <c r="K399" s="154"/>
    </row>
    <row r="400" spans="1:11" x14ac:dyDescent="0.2">
      <c r="A400" s="354"/>
      <c r="B400" s="177"/>
      <c r="C400" s="152"/>
      <c r="D400" s="152"/>
      <c r="E400" s="133">
        <v>2020</v>
      </c>
      <c r="F400" s="97">
        <f t="shared" si="22"/>
        <v>15</v>
      </c>
      <c r="G400" s="14"/>
      <c r="H400" s="14"/>
      <c r="I400" s="14">
        <v>15</v>
      </c>
      <c r="J400" s="14"/>
      <c r="K400" s="154"/>
    </row>
    <row r="401" spans="1:11" ht="18" customHeight="1" thickBot="1" x14ac:dyDescent="0.25">
      <c r="A401" s="355"/>
      <c r="B401" s="157"/>
      <c r="C401" s="152"/>
      <c r="D401" s="152"/>
      <c r="E401" s="33" t="s">
        <v>18</v>
      </c>
      <c r="F401" s="17">
        <f>SUM(F395:F400)</f>
        <v>75</v>
      </c>
      <c r="G401" s="52"/>
      <c r="H401" s="52"/>
      <c r="I401" s="52">
        <f>SUM(I395:I400)</f>
        <v>75</v>
      </c>
      <c r="J401" s="28"/>
      <c r="K401" s="154"/>
    </row>
    <row r="402" spans="1:11" ht="26.25" thickBot="1" x14ac:dyDescent="0.25">
      <c r="A402" s="348" t="s">
        <v>234</v>
      </c>
      <c r="B402" s="349"/>
      <c r="C402" s="349"/>
      <c r="D402" s="349"/>
      <c r="E402" s="120" t="s">
        <v>75</v>
      </c>
      <c r="F402" s="121">
        <f>F386+F401+F393</f>
        <v>351.2</v>
      </c>
      <c r="G402" s="121">
        <f>G386+G401+G393</f>
        <v>0</v>
      </c>
      <c r="H402" s="121">
        <f>H386+H401+H393</f>
        <v>0</v>
      </c>
      <c r="I402" s="121">
        <f>I386+I401+I393</f>
        <v>351.2</v>
      </c>
      <c r="J402" s="122"/>
      <c r="K402" s="123"/>
    </row>
    <row r="403" spans="1:11" ht="15" thickBot="1" x14ac:dyDescent="0.25">
      <c r="A403" s="350" t="s">
        <v>235</v>
      </c>
      <c r="B403" s="351"/>
      <c r="C403" s="351"/>
      <c r="D403" s="351"/>
      <c r="E403" s="351"/>
      <c r="F403" s="351"/>
      <c r="G403" s="351"/>
      <c r="H403" s="351"/>
      <c r="I403" s="351"/>
      <c r="J403" s="351"/>
      <c r="K403" s="352"/>
    </row>
    <row r="404" spans="1:11" ht="14.25" x14ac:dyDescent="0.2">
      <c r="A404" s="358" t="s">
        <v>94</v>
      </c>
      <c r="B404" s="359"/>
      <c r="C404" s="359"/>
      <c r="D404" s="359"/>
      <c r="E404" s="360"/>
      <c r="F404" s="360"/>
      <c r="G404" s="360"/>
      <c r="H404" s="360"/>
      <c r="I404" s="360"/>
      <c r="J404" s="360"/>
      <c r="K404" s="361"/>
    </row>
    <row r="405" spans="1:11" x14ac:dyDescent="0.2">
      <c r="A405" s="362" t="s">
        <v>95</v>
      </c>
      <c r="B405" s="164" t="s">
        <v>96</v>
      </c>
      <c r="C405" s="167" t="s">
        <v>84</v>
      </c>
      <c r="D405" s="151" t="s">
        <v>257</v>
      </c>
      <c r="E405" s="133">
        <v>2015</v>
      </c>
      <c r="F405" s="97">
        <f t="shared" ref="F405:F410" si="23">SUM(G405:I405)</f>
        <v>50</v>
      </c>
      <c r="G405" s="14"/>
      <c r="H405" s="14"/>
      <c r="I405" s="14">
        <v>50</v>
      </c>
      <c r="J405" s="14"/>
      <c r="K405" s="151" t="s">
        <v>207</v>
      </c>
    </row>
    <row r="406" spans="1:11" x14ac:dyDescent="0.2">
      <c r="A406" s="363"/>
      <c r="B406" s="165"/>
      <c r="C406" s="152"/>
      <c r="D406" s="152"/>
      <c r="E406" s="133">
        <v>2016</v>
      </c>
      <c r="F406" s="97">
        <f t="shared" si="23"/>
        <v>60</v>
      </c>
      <c r="G406" s="14"/>
      <c r="H406" s="14"/>
      <c r="I406" s="14">
        <v>60</v>
      </c>
      <c r="J406" s="14"/>
      <c r="K406" s="154"/>
    </row>
    <row r="407" spans="1:11" x14ac:dyDescent="0.2">
      <c r="A407" s="363"/>
      <c r="B407" s="165"/>
      <c r="C407" s="152"/>
      <c r="D407" s="152"/>
      <c r="E407" s="133">
        <v>2017</v>
      </c>
      <c r="F407" s="97">
        <f t="shared" si="23"/>
        <v>70</v>
      </c>
      <c r="G407" s="14"/>
      <c r="H407" s="14"/>
      <c r="I407" s="14">
        <v>70</v>
      </c>
      <c r="J407" s="14"/>
      <c r="K407" s="154"/>
    </row>
    <row r="408" spans="1:11" x14ac:dyDescent="0.2">
      <c r="A408" s="363"/>
      <c r="B408" s="165"/>
      <c r="C408" s="152"/>
      <c r="D408" s="152"/>
      <c r="E408" s="133">
        <v>2018</v>
      </c>
      <c r="F408" s="97">
        <f t="shared" si="23"/>
        <v>80</v>
      </c>
      <c r="G408" s="14"/>
      <c r="H408" s="14"/>
      <c r="I408" s="14">
        <v>80</v>
      </c>
      <c r="J408" s="14"/>
      <c r="K408" s="154"/>
    </row>
    <row r="409" spans="1:11" x14ac:dyDescent="0.2">
      <c r="A409" s="363"/>
      <c r="B409" s="165"/>
      <c r="C409" s="152"/>
      <c r="D409" s="152"/>
      <c r="E409" s="133">
        <v>2019</v>
      </c>
      <c r="F409" s="97">
        <f t="shared" si="23"/>
        <v>90</v>
      </c>
      <c r="G409" s="14"/>
      <c r="H409" s="14"/>
      <c r="I409" s="14">
        <v>90</v>
      </c>
      <c r="J409" s="14"/>
      <c r="K409" s="154"/>
    </row>
    <row r="410" spans="1:11" x14ac:dyDescent="0.2">
      <c r="A410" s="363"/>
      <c r="B410" s="165"/>
      <c r="C410" s="152"/>
      <c r="D410" s="152"/>
      <c r="E410" s="133">
        <v>2020</v>
      </c>
      <c r="F410" s="97">
        <f t="shared" si="23"/>
        <v>100</v>
      </c>
      <c r="G410" s="14"/>
      <c r="H410" s="14"/>
      <c r="I410" s="14">
        <v>100</v>
      </c>
      <c r="J410" s="14"/>
      <c r="K410" s="154"/>
    </row>
    <row r="411" spans="1:11" ht="13.5" thickBot="1" x14ac:dyDescent="0.25">
      <c r="A411" s="363"/>
      <c r="B411" s="166"/>
      <c r="C411" s="168"/>
      <c r="D411" s="153"/>
      <c r="E411" s="33" t="s">
        <v>18</v>
      </c>
      <c r="F411" s="20">
        <f>SUM(F405:F410)</f>
        <v>450</v>
      </c>
      <c r="G411" s="13"/>
      <c r="H411" s="13"/>
      <c r="I411" s="13">
        <f>SUM(I405:I410)</f>
        <v>450</v>
      </c>
      <c r="J411" s="14"/>
      <c r="K411" s="154"/>
    </row>
    <row r="412" spans="1:11" x14ac:dyDescent="0.2">
      <c r="A412" s="362" t="s">
        <v>97</v>
      </c>
      <c r="B412" s="164" t="s">
        <v>98</v>
      </c>
      <c r="C412" s="167" t="s">
        <v>84</v>
      </c>
      <c r="D412" s="151" t="s">
        <v>257</v>
      </c>
      <c r="E412" s="133">
        <v>2015</v>
      </c>
      <c r="F412" s="81">
        <f t="shared" ref="F412:F417" si="24">SUM(G412:I412)</f>
        <v>150</v>
      </c>
      <c r="G412" s="14"/>
      <c r="H412" s="14"/>
      <c r="I412" s="14">
        <v>150</v>
      </c>
      <c r="J412" s="14"/>
      <c r="K412" s="154"/>
    </row>
    <row r="413" spans="1:11" x14ac:dyDescent="0.2">
      <c r="A413" s="363"/>
      <c r="B413" s="164"/>
      <c r="C413" s="152"/>
      <c r="D413" s="152"/>
      <c r="E413" s="133">
        <v>2016</v>
      </c>
      <c r="F413" s="81">
        <f t="shared" si="24"/>
        <v>180</v>
      </c>
      <c r="G413" s="14"/>
      <c r="H413" s="14"/>
      <c r="I413" s="14">
        <v>180</v>
      </c>
      <c r="J413" s="14"/>
      <c r="K413" s="154"/>
    </row>
    <row r="414" spans="1:11" x14ac:dyDescent="0.2">
      <c r="A414" s="363"/>
      <c r="B414" s="164"/>
      <c r="C414" s="152"/>
      <c r="D414" s="152"/>
      <c r="E414" s="133">
        <v>2017</v>
      </c>
      <c r="F414" s="81">
        <f t="shared" si="24"/>
        <v>220</v>
      </c>
      <c r="G414" s="14"/>
      <c r="H414" s="14"/>
      <c r="I414" s="14">
        <v>220</v>
      </c>
      <c r="J414" s="14"/>
      <c r="K414" s="154"/>
    </row>
    <row r="415" spans="1:11" x14ac:dyDescent="0.2">
      <c r="A415" s="363"/>
      <c r="B415" s="164"/>
      <c r="C415" s="152"/>
      <c r="D415" s="152"/>
      <c r="E415" s="133">
        <v>2018</v>
      </c>
      <c r="F415" s="81">
        <f t="shared" si="24"/>
        <v>240</v>
      </c>
      <c r="G415" s="14"/>
      <c r="H415" s="14"/>
      <c r="I415" s="14">
        <v>240</v>
      </c>
      <c r="J415" s="14"/>
      <c r="K415" s="154"/>
    </row>
    <row r="416" spans="1:11" x14ac:dyDescent="0.2">
      <c r="A416" s="363"/>
      <c r="B416" s="164"/>
      <c r="C416" s="152"/>
      <c r="D416" s="152"/>
      <c r="E416" s="133">
        <v>2019</v>
      </c>
      <c r="F416" s="81">
        <f t="shared" si="24"/>
        <v>260</v>
      </c>
      <c r="G416" s="14"/>
      <c r="H416" s="14"/>
      <c r="I416" s="14">
        <v>260</v>
      </c>
      <c r="J416" s="14"/>
      <c r="K416" s="154"/>
    </row>
    <row r="417" spans="1:11" x14ac:dyDescent="0.2">
      <c r="A417" s="363"/>
      <c r="B417" s="164"/>
      <c r="C417" s="152"/>
      <c r="D417" s="152"/>
      <c r="E417" s="133">
        <v>2020</v>
      </c>
      <c r="F417" s="81">
        <f t="shared" si="24"/>
        <v>270</v>
      </c>
      <c r="G417" s="14"/>
      <c r="H417" s="14"/>
      <c r="I417" s="14">
        <v>270</v>
      </c>
      <c r="J417" s="14"/>
      <c r="K417" s="154"/>
    </row>
    <row r="418" spans="1:11" ht="32.25" customHeight="1" thickBot="1" x14ac:dyDescent="0.25">
      <c r="A418" s="363"/>
      <c r="B418" s="166"/>
      <c r="C418" s="168"/>
      <c r="D418" s="153"/>
      <c r="E418" s="24" t="s">
        <v>18</v>
      </c>
      <c r="F418" s="103">
        <f>SUM(F412:F417)</f>
        <v>1320</v>
      </c>
      <c r="G418" s="13"/>
      <c r="H418" s="13"/>
      <c r="I418" s="13">
        <f>SUM(I412:I417)</f>
        <v>1320</v>
      </c>
      <c r="J418" s="14"/>
      <c r="K418" s="154"/>
    </row>
    <row r="419" spans="1:11" x14ac:dyDescent="0.2">
      <c r="A419" s="362" t="s">
        <v>99</v>
      </c>
      <c r="B419" s="164" t="s">
        <v>206</v>
      </c>
      <c r="C419" s="167" t="s">
        <v>84</v>
      </c>
      <c r="D419" s="151" t="s">
        <v>257</v>
      </c>
      <c r="E419" s="133">
        <v>2015</v>
      </c>
      <c r="F419" s="81">
        <f t="shared" ref="F419:F424" si="25">SUM(G419:I419)</f>
        <v>55</v>
      </c>
      <c r="G419" s="14"/>
      <c r="H419" s="14"/>
      <c r="I419" s="14">
        <v>55</v>
      </c>
      <c r="J419" s="14"/>
      <c r="K419" s="154"/>
    </row>
    <row r="420" spans="1:11" x14ac:dyDescent="0.2">
      <c r="A420" s="363"/>
      <c r="B420" s="164"/>
      <c r="C420" s="152"/>
      <c r="D420" s="152"/>
      <c r="E420" s="133">
        <v>2016</v>
      </c>
      <c r="F420" s="81">
        <f t="shared" si="25"/>
        <v>60</v>
      </c>
      <c r="G420" s="14"/>
      <c r="H420" s="14"/>
      <c r="I420" s="14">
        <v>60</v>
      </c>
      <c r="J420" s="14"/>
      <c r="K420" s="154"/>
    </row>
    <row r="421" spans="1:11" x14ac:dyDescent="0.2">
      <c r="A421" s="363"/>
      <c r="B421" s="164"/>
      <c r="C421" s="152"/>
      <c r="D421" s="152"/>
      <c r="E421" s="133">
        <v>2017</v>
      </c>
      <c r="F421" s="81">
        <f t="shared" si="25"/>
        <v>65</v>
      </c>
      <c r="G421" s="14"/>
      <c r="H421" s="14"/>
      <c r="I421" s="14">
        <v>65</v>
      </c>
      <c r="J421" s="14"/>
      <c r="K421" s="154"/>
    </row>
    <row r="422" spans="1:11" x14ac:dyDescent="0.2">
      <c r="A422" s="363"/>
      <c r="B422" s="164"/>
      <c r="C422" s="152"/>
      <c r="D422" s="152"/>
      <c r="E422" s="133">
        <v>2018</v>
      </c>
      <c r="F422" s="81">
        <f t="shared" si="25"/>
        <v>70</v>
      </c>
      <c r="G422" s="14"/>
      <c r="H422" s="14"/>
      <c r="I422" s="14">
        <v>70</v>
      </c>
      <c r="J422" s="14"/>
      <c r="K422" s="154"/>
    </row>
    <row r="423" spans="1:11" x14ac:dyDescent="0.2">
      <c r="A423" s="363"/>
      <c r="B423" s="164"/>
      <c r="C423" s="152"/>
      <c r="D423" s="152"/>
      <c r="E423" s="133">
        <v>2019</v>
      </c>
      <c r="F423" s="81">
        <f t="shared" si="25"/>
        <v>75</v>
      </c>
      <c r="G423" s="14"/>
      <c r="H423" s="14"/>
      <c r="I423" s="14">
        <v>75</v>
      </c>
      <c r="J423" s="14"/>
      <c r="K423" s="154"/>
    </row>
    <row r="424" spans="1:11" x14ac:dyDescent="0.2">
      <c r="A424" s="363"/>
      <c r="B424" s="164"/>
      <c r="C424" s="152"/>
      <c r="D424" s="152"/>
      <c r="E424" s="133">
        <v>2020</v>
      </c>
      <c r="F424" s="81">
        <f t="shared" si="25"/>
        <v>80</v>
      </c>
      <c r="G424" s="14"/>
      <c r="H424" s="14"/>
      <c r="I424" s="14">
        <v>80</v>
      </c>
      <c r="J424" s="14"/>
      <c r="K424" s="154"/>
    </row>
    <row r="425" spans="1:11" ht="13.5" thickBot="1" x14ac:dyDescent="0.25">
      <c r="A425" s="363"/>
      <c r="B425" s="183"/>
      <c r="C425" s="168"/>
      <c r="D425" s="153"/>
      <c r="E425" s="24" t="s">
        <v>18</v>
      </c>
      <c r="F425" s="21">
        <f>SUM(F419:F424)</f>
        <v>405</v>
      </c>
      <c r="G425" s="13"/>
      <c r="H425" s="13"/>
      <c r="I425" s="13">
        <f>SUM(I419:I424)</f>
        <v>405</v>
      </c>
      <c r="J425" s="14"/>
      <c r="K425" s="155"/>
    </row>
    <row r="426" spans="1:11" x14ac:dyDescent="0.2">
      <c r="A426" s="362" t="s">
        <v>100</v>
      </c>
      <c r="B426" s="164" t="s">
        <v>101</v>
      </c>
      <c r="C426" s="167" t="s">
        <v>84</v>
      </c>
      <c r="D426" s="151" t="s">
        <v>257</v>
      </c>
      <c r="E426" s="133">
        <v>2015</v>
      </c>
      <c r="F426" s="81">
        <f t="shared" ref="F426:F431" si="26">SUM(G426:I426)</f>
        <v>50</v>
      </c>
      <c r="G426" s="14"/>
      <c r="H426" s="14"/>
      <c r="I426" s="14">
        <v>50</v>
      </c>
      <c r="J426" s="14"/>
      <c r="K426" s="151" t="s">
        <v>208</v>
      </c>
    </row>
    <row r="427" spans="1:11" x14ac:dyDescent="0.2">
      <c r="A427" s="363"/>
      <c r="B427" s="165"/>
      <c r="C427" s="152"/>
      <c r="D427" s="152"/>
      <c r="E427" s="133">
        <v>2016</v>
      </c>
      <c r="F427" s="81">
        <f t="shared" si="26"/>
        <v>55</v>
      </c>
      <c r="G427" s="14"/>
      <c r="H427" s="14"/>
      <c r="I427" s="14">
        <v>55</v>
      </c>
      <c r="J427" s="14"/>
      <c r="K427" s="154"/>
    </row>
    <row r="428" spans="1:11" x14ac:dyDescent="0.2">
      <c r="A428" s="363"/>
      <c r="B428" s="165"/>
      <c r="C428" s="152"/>
      <c r="D428" s="152"/>
      <c r="E428" s="133">
        <v>2017</v>
      </c>
      <c r="F428" s="81">
        <f t="shared" si="26"/>
        <v>60</v>
      </c>
      <c r="G428" s="14"/>
      <c r="H428" s="14"/>
      <c r="I428" s="14">
        <v>60</v>
      </c>
      <c r="J428" s="14"/>
      <c r="K428" s="154"/>
    </row>
    <row r="429" spans="1:11" x14ac:dyDescent="0.2">
      <c r="A429" s="363"/>
      <c r="B429" s="165"/>
      <c r="C429" s="152"/>
      <c r="D429" s="152"/>
      <c r="E429" s="133">
        <v>2018</v>
      </c>
      <c r="F429" s="81">
        <f t="shared" si="26"/>
        <v>65</v>
      </c>
      <c r="G429" s="14"/>
      <c r="H429" s="14"/>
      <c r="I429" s="14">
        <v>65</v>
      </c>
      <c r="J429" s="14"/>
      <c r="K429" s="154"/>
    </row>
    <row r="430" spans="1:11" x14ac:dyDescent="0.2">
      <c r="A430" s="363"/>
      <c r="B430" s="165"/>
      <c r="C430" s="152"/>
      <c r="D430" s="152"/>
      <c r="E430" s="133">
        <v>2019</v>
      </c>
      <c r="F430" s="81">
        <f t="shared" si="26"/>
        <v>70</v>
      </c>
      <c r="G430" s="14"/>
      <c r="H430" s="14"/>
      <c r="I430" s="14">
        <v>70</v>
      </c>
      <c r="J430" s="14"/>
      <c r="K430" s="154"/>
    </row>
    <row r="431" spans="1:11" x14ac:dyDescent="0.2">
      <c r="A431" s="363"/>
      <c r="B431" s="165"/>
      <c r="C431" s="152"/>
      <c r="D431" s="152"/>
      <c r="E431" s="133">
        <v>2020</v>
      </c>
      <c r="F431" s="81">
        <f t="shared" si="26"/>
        <v>75</v>
      </c>
      <c r="G431" s="14"/>
      <c r="H431" s="14"/>
      <c r="I431" s="14">
        <v>75</v>
      </c>
      <c r="J431" s="14"/>
      <c r="K431" s="154"/>
    </row>
    <row r="432" spans="1:11" ht="13.5" thickBot="1" x14ac:dyDescent="0.25">
      <c r="A432" s="363"/>
      <c r="B432" s="165"/>
      <c r="C432" s="168"/>
      <c r="D432" s="153"/>
      <c r="E432" s="24" t="s">
        <v>18</v>
      </c>
      <c r="F432" s="21">
        <f>SUM(F426:F431)</f>
        <v>375</v>
      </c>
      <c r="G432" s="14"/>
      <c r="H432" s="14"/>
      <c r="I432" s="13">
        <f>SUM(I426:I431)</f>
        <v>375</v>
      </c>
      <c r="J432" s="14"/>
      <c r="K432" s="155"/>
    </row>
    <row r="433" spans="1:35" ht="16.5" customHeight="1" thickBot="1" x14ac:dyDescent="0.25">
      <c r="A433" s="156" t="s">
        <v>236</v>
      </c>
      <c r="B433" s="157"/>
      <c r="C433" s="157"/>
      <c r="D433" s="157"/>
      <c r="E433" s="6" t="s">
        <v>75</v>
      </c>
      <c r="F433" s="17">
        <f>F411+F418+F425+F432</f>
        <v>2550</v>
      </c>
      <c r="G433" s="17">
        <f>G411+G418+G425+G432</f>
        <v>0</v>
      </c>
      <c r="H433" s="17">
        <f>H411+H418+H425+H432</f>
        <v>0</v>
      </c>
      <c r="I433" s="17">
        <f>I411+I418+I425+I432</f>
        <v>2550</v>
      </c>
      <c r="J433" s="19"/>
      <c r="K433" s="6"/>
    </row>
    <row r="434" spans="1:35" ht="15" thickBot="1" x14ac:dyDescent="0.25">
      <c r="A434" s="350" t="s">
        <v>237</v>
      </c>
      <c r="B434" s="351"/>
      <c r="C434" s="351"/>
      <c r="D434" s="351"/>
      <c r="E434" s="351"/>
      <c r="F434" s="351"/>
      <c r="G434" s="351"/>
      <c r="H434" s="351"/>
      <c r="I434" s="351"/>
      <c r="J434" s="351"/>
      <c r="K434" s="352"/>
    </row>
    <row r="435" spans="1:35" ht="14.25" x14ac:dyDescent="0.2">
      <c r="A435" s="358" t="s">
        <v>102</v>
      </c>
      <c r="B435" s="359"/>
      <c r="C435" s="359"/>
      <c r="D435" s="359"/>
      <c r="E435" s="360"/>
      <c r="F435" s="360"/>
      <c r="G435" s="360"/>
      <c r="H435" s="360"/>
      <c r="I435" s="360"/>
      <c r="J435" s="360"/>
      <c r="K435" s="361"/>
    </row>
    <row r="436" spans="1:35" ht="12.75" customHeight="1" x14ac:dyDescent="0.2">
      <c r="A436" s="366" t="s">
        <v>120</v>
      </c>
      <c r="B436" s="259" t="s">
        <v>103</v>
      </c>
      <c r="C436" s="167" t="s">
        <v>84</v>
      </c>
      <c r="D436" s="151" t="s">
        <v>257</v>
      </c>
      <c r="E436" s="133">
        <v>2015</v>
      </c>
      <c r="F436" s="81">
        <f t="shared" ref="F436:F441" si="27">SUM(G436:I436)</f>
        <v>3623.3</v>
      </c>
      <c r="G436" s="14"/>
      <c r="H436" s="14">
        <f>3817-230</f>
        <v>3587</v>
      </c>
      <c r="I436" s="14">
        <f>38.6-2.3</f>
        <v>36.300000000000004</v>
      </c>
      <c r="J436" s="14"/>
      <c r="K436" s="151" t="s">
        <v>209</v>
      </c>
    </row>
    <row r="437" spans="1:35" x14ac:dyDescent="0.2">
      <c r="A437" s="367"/>
      <c r="B437" s="202"/>
      <c r="C437" s="152"/>
      <c r="D437" s="152"/>
      <c r="E437" s="133">
        <v>2016</v>
      </c>
      <c r="F437" s="81">
        <f t="shared" si="27"/>
        <v>27.8</v>
      </c>
      <c r="G437" s="14"/>
      <c r="H437" s="14">
        <v>0</v>
      </c>
      <c r="I437" s="14">
        <v>27.8</v>
      </c>
      <c r="J437" s="14"/>
      <c r="K437" s="154"/>
    </row>
    <row r="438" spans="1:35" x14ac:dyDescent="0.2">
      <c r="A438" s="367"/>
      <c r="B438" s="202"/>
      <c r="C438" s="152"/>
      <c r="D438" s="152"/>
      <c r="E438" s="133">
        <v>2017</v>
      </c>
      <c r="F438" s="81">
        <f t="shared" si="27"/>
        <v>2767.6</v>
      </c>
      <c r="G438" s="14"/>
      <c r="H438" s="14">
        <v>2740</v>
      </c>
      <c r="I438" s="14">
        <v>27.6</v>
      </c>
      <c r="J438" s="14"/>
      <c r="K438" s="154"/>
    </row>
    <row r="439" spans="1:35" x14ac:dyDescent="0.2">
      <c r="A439" s="367"/>
      <c r="B439" s="202"/>
      <c r="C439" s="152"/>
      <c r="D439" s="152"/>
      <c r="E439" s="133">
        <v>2018</v>
      </c>
      <c r="F439" s="81">
        <f t="shared" si="27"/>
        <v>1621.2</v>
      </c>
      <c r="G439" s="14"/>
      <c r="H439" s="14">
        <v>1605</v>
      </c>
      <c r="I439" s="14">
        <v>16.2</v>
      </c>
      <c r="J439" s="14"/>
      <c r="K439" s="154"/>
    </row>
    <row r="440" spans="1:35" x14ac:dyDescent="0.2">
      <c r="A440" s="367"/>
      <c r="B440" s="202"/>
      <c r="C440" s="152"/>
      <c r="D440" s="152"/>
      <c r="E440" s="133">
        <v>2019</v>
      </c>
      <c r="F440" s="81">
        <f t="shared" si="27"/>
        <v>1483.8</v>
      </c>
      <c r="G440" s="14"/>
      <c r="H440" s="14">
        <v>1469</v>
      </c>
      <c r="I440" s="14">
        <v>14.8</v>
      </c>
      <c r="J440" s="14"/>
      <c r="K440" s="154"/>
    </row>
    <row r="441" spans="1:35" x14ac:dyDescent="0.2">
      <c r="A441" s="367"/>
      <c r="B441" s="202"/>
      <c r="C441" s="152"/>
      <c r="D441" s="152"/>
      <c r="E441" s="133">
        <v>2020</v>
      </c>
      <c r="F441" s="81">
        <f t="shared" si="27"/>
        <v>1613.1</v>
      </c>
      <c r="G441" s="14"/>
      <c r="H441" s="14">
        <v>1597</v>
      </c>
      <c r="I441" s="14">
        <v>16.100000000000001</v>
      </c>
      <c r="J441" s="14"/>
      <c r="K441" s="154"/>
    </row>
    <row r="442" spans="1:35" ht="13.5" thickBot="1" x14ac:dyDescent="0.25">
      <c r="A442" s="368"/>
      <c r="B442" s="202"/>
      <c r="C442" s="168"/>
      <c r="D442" s="153"/>
      <c r="E442" s="24" t="s">
        <v>18</v>
      </c>
      <c r="F442" s="21">
        <f>SUM(F436:F441)</f>
        <v>11136.800000000001</v>
      </c>
      <c r="G442" s="13"/>
      <c r="H442" s="13">
        <f>SUM(H436:H441)</f>
        <v>10998</v>
      </c>
      <c r="I442" s="13">
        <f>SUM(I436:I441)</f>
        <v>138.80000000000001</v>
      </c>
      <c r="J442" s="14"/>
      <c r="K442" s="155"/>
    </row>
    <row r="443" spans="1:35" ht="26.25" thickBot="1" x14ac:dyDescent="0.25">
      <c r="A443" s="156" t="s">
        <v>238</v>
      </c>
      <c r="B443" s="157"/>
      <c r="C443" s="157"/>
      <c r="D443" s="157"/>
      <c r="E443" s="6" t="s">
        <v>75</v>
      </c>
      <c r="F443" s="21">
        <f>SUM(F436:F441)</f>
        <v>11136.800000000001</v>
      </c>
      <c r="G443" s="19"/>
      <c r="H443" s="13">
        <f>SUM(H436:H441)</f>
        <v>10998</v>
      </c>
      <c r="I443" s="13">
        <f>SUM(I436:I441)</f>
        <v>138.80000000000001</v>
      </c>
      <c r="J443" s="19"/>
      <c r="K443" s="6"/>
    </row>
    <row r="444" spans="1:35" ht="47.25" x14ac:dyDescent="0.25">
      <c r="A444" s="252" t="s">
        <v>240</v>
      </c>
      <c r="B444" s="364"/>
      <c r="C444" s="364"/>
      <c r="D444" s="365"/>
      <c r="E444" s="102" t="s">
        <v>75</v>
      </c>
      <c r="F444" s="102" t="s">
        <v>18</v>
      </c>
      <c r="G444" s="104" t="s">
        <v>10</v>
      </c>
      <c r="H444" s="105" t="s">
        <v>11</v>
      </c>
      <c r="I444" s="105" t="s">
        <v>12</v>
      </c>
      <c r="J444" s="105" t="s">
        <v>13</v>
      </c>
      <c r="K444" s="59"/>
      <c r="L444" s="77"/>
      <c r="M444" s="77"/>
      <c r="N444" s="77"/>
    </row>
    <row r="445" spans="1:35" ht="15.75" x14ac:dyDescent="0.25">
      <c r="A445" s="134"/>
      <c r="B445" s="135"/>
      <c r="C445" s="135"/>
      <c r="D445" s="136"/>
      <c r="E445" s="108"/>
      <c r="F445" s="23">
        <f>SUM(G445:J445)</f>
        <v>367773.6</v>
      </c>
      <c r="G445" s="23"/>
      <c r="H445" s="11">
        <f>H443+H433+H402+H377+H332</f>
        <v>11228</v>
      </c>
      <c r="I445" s="11">
        <f>I443+I433+I402+I377</f>
        <v>353330.6</v>
      </c>
      <c r="J445" s="11">
        <f>J443+J433+J402+J377</f>
        <v>3215</v>
      </c>
      <c r="K445" s="59"/>
      <c r="L445" s="43"/>
      <c r="M445" s="43"/>
      <c r="N445" s="43"/>
    </row>
    <row r="446" spans="1:35" ht="18.75" customHeight="1" thickBot="1" x14ac:dyDescent="0.25">
      <c r="A446" s="402" t="s">
        <v>241</v>
      </c>
      <c r="B446" s="403"/>
      <c r="C446" s="403"/>
      <c r="D446" s="403"/>
      <c r="E446" s="403"/>
      <c r="F446" s="403"/>
      <c r="G446" s="403"/>
      <c r="H446" s="403"/>
      <c r="I446" s="403"/>
      <c r="J446" s="403"/>
      <c r="K446" s="404"/>
      <c r="L446" s="78"/>
      <c r="M446" s="78"/>
      <c r="N446" s="78"/>
    </row>
    <row r="447" spans="1:35" ht="30" customHeight="1" x14ac:dyDescent="0.2">
      <c r="A447" s="219" t="s">
        <v>242</v>
      </c>
      <c r="B447" s="166"/>
      <c r="C447" s="166"/>
      <c r="D447" s="166"/>
      <c r="E447" s="165"/>
      <c r="F447" s="165"/>
      <c r="G447" s="165"/>
      <c r="H447" s="165"/>
      <c r="I447" s="165"/>
      <c r="J447" s="165"/>
      <c r="K447" s="165"/>
      <c r="L447" s="79"/>
      <c r="M447" s="79"/>
      <c r="N447" s="79"/>
      <c r="O447" s="79"/>
      <c r="P447" s="79"/>
      <c r="Q447" s="79"/>
      <c r="R447" s="79"/>
      <c r="S447" s="79"/>
      <c r="T447" s="79"/>
      <c r="U447" s="79"/>
      <c r="V447" s="79"/>
      <c r="W447" s="79"/>
      <c r="X447" s="79"/>
      <c r="Y447" s="79"/>
      <c r="Z447" s="79"/>
      <c r="AA447" s="79"/>
      <c r="AB447" s="79"/>
      <c r="AC447" s="79"/>
      <c r="AD447" s="79"/>
      <c r="AE447" s="79"/>
      <c r="AF447" s="79"/>
      <c r="AG447" s="79"/>
      <c r="AH447" s="79"/>
      <c r="AI447" s="80"/>
    </row>
    <row r="448" spans="1:35" x14ac:dyDescent="0.2">
      <c r="A448" s="334" t="s">
        <v>129</v>
      </c>
      <c r="B448" s="357" t="s">
        <v>104</v>
      </c>
      <c r="C448" s="167" t="s">
        <v>84</v>
      </c>
      <c r="D448" s="151" t="s">
        <v>257</v>
      </c>
      <c r="E448" s="133">
        <v>2015</v>
      </c>
      <c r="F448" s="81">
        <f t="shared" ref="F448:F453" si="28">SUM(G448:J448)</f>
        <v>1923.3999999999999</v>
      </c>
      <c r="G448" s="14"/>
      <c r="H448" s="14">
        <f>2020.6-97.2</f>
        <v>1923.3999999999999</v>
      </c>
      <c r="I448" s="14"/>
      <c r="J448" s="14"/>
      <c r="K448" s="151" t="s">
        <v>210</v>
      </c>
    </row>
    <row r="449" spans="1:11" x14ac:dyDescent="0.2">
      <c r="A449" s="335"/>
      <c r="B449" s="291"/>
      <c r="C449" s="152"/>
      <c r="D449" s="152"/>
      <c r="E449" s="133">
        <v>2016</v>
      </c>
      <c r="F449" s="81">
        <f t="shared" si="28"/>
        <v>2072.6</v>
      </c>
      <c r="G449" s="14"/>
      <c r="H449" s="14">
        <v>2072.6</v>
      </c>
      <c r="I449" s="14"/>
      <c r="J449" s="14"/>
      <c r="K449" s="154"/>
    </row>
    <row r="450" spans="1:11" x14ac:dyDescent="0.2">
      <c r="A450" s="335"/>
      <c r="B450" s="291"/>
      <c r="C450" s="152"/>
      <c r="D450" s="152"/>
      <c r="E450" s="133">
        <v>2017</v>
      </c>
      <c r="F450" s="81">
        <f t="shared" si="28"/>
        <v>2206.6</v>
      </c>
      <c r="G450" s="14"/>
      <c r="H450" s="14">
        <v>2206.6</v>
      </c>
      <c r="I450" s="14"/>
      <c r="J450" s="14"/>
      <c r="K450" s="154"/>
    </row>
    <row r="451" spans="1:11" x14ac:dyDescent="0.2">
      <c r="A451" s="335"/>
      <c r="B451" s="291"/>
      <c r="C451" s="152"/>
      <c r="D451" s="152"/>
      <c r="E451" s="133">
        <v>2018</v>
      </c>
      <c r="F451" s="81">
        <f t="shared" si="28"/>
        <v>2121.8000000000002</v>
      </c>
      <c r="G451" s="14"/>
      <c r="H451" s="14">
        <v>2121.8000000000002</v>
      </c>
      <c r="I451" s="14"/>
      <c r="J451" s="14"/>
      <c r="K451" s="154"/>
    </row>
    <row r="452" spans="1:11" x14ac:dyDescent="0.2">
      <c r="A452" s="335"/>
      <c r="B452" s="291"/>
      <c r="C452" s="152"/>
      <c r="D452" s="152"/>
      <c r="E452" s="133">
        <v>2019</v>
      </c>
      <c r="F452" s="81">
        <f t="shared" si="28"/>
        <v>2238.5</v>
      </c>
      <c r="G452" s="14"/>
      <c r="H452" s="14">
        <v>2238.5</v>
      </c>
      <c r="I452" s="14"/>
      <c r="J452" s="14"/>
      <c r="K452" s="154"/>
    </row>
    <row r="453" spans="1:11" x14ac:dyDescent="0.2">
      <c r="A453" s="335"/>
      <c r="B453" s="291"/>
      <c r="C453" s="152"/>
      <c r="D453" s="152"/>
      <c r="E453" s="133">
        <v>2020</v>
      </c>
      <c r="F453" s="81">
        <f t="shared" si="28"/>
        <v>2350.4</v>
      </c>
      <c r="G453" s="14"/>
      <c r="H453" s="14">
        <v>2350.4</v>
      </c>
      <c r="I453" s="14"/>
      <c r="J453" s="14"/>
      <c r="K453" s="154"/>
    </row>
    <row r="454" spans="1:11" ht="18.75" customHeight="1" x14ac:dyDescent="0.2">
      <c r="A454" s="335"/>
      <c r="B454" s="291"/>
      <c r="C454" s="153"/>
      <c r="D454" s="153"/>
      <c r="E454" s="24" t="s">
        <v>18</v>
      </c>
      <c r="F454" s="21">
        <f>SUM(F448:F453)</f>
        <v>12913.300000000001</v>
      </c>
      <c r="G454" s="13"/>
      <c r="H454" s="13">
        <f>SUM(H448:H453)</f>
        <v>12913.300000000001</v>
      </c>
      <c r="I454" s="14"/>
      <c r="J454" s="14"/>
      <c r="K454" s="154"/>
    </row>
    <row r="455" spans="1:11" x14ac:dyDescent="0.2">
      <c r="A455" s="334" t="s">
        <v>131</v>
      </c>
      <c r="B455" s="259" t="s">
        <v>105</v>
      </c>
      <c r="C455" s="167" t="s">
        <v>84</v>
      </c>
      <c r="D455" s="151" t="s">
        <v>257</v>
      </c>
      <c r="E455" s="133">
        <v>2015</v>
      </c>
      <c r="F455" s="81">
        <f t="shared" ref="F455:F460" si="29">SUM(G455:J455)</f>
        <v>759.90000000000009</v>
      </c>
      <c r="G455" s="14"/>
      <c r="H455" s="14">
        <f>783-27.3+4.2</f>
        <v>759.90000000000009</v>
      </c>
      <c r="I455" s="14"/>
      <c r="J455" s="14"/>
      <c r="K455" s="154"/>
    </row>
    <row r="456" spans="1:11" x14ac:dyDescent="0.2">
      <c r="A456" s="335"/>
      <c r="B456" s="177"/>
      <c r="C456" s="152"/>
      <c r="D456" s="152"/>
      <c r="E456" s="133">
        <v>2016</v>
      </c>
      <c r="F456" s="81">
        <f t="shared" si="29"/>
        <v>753.4</v>
      </c>
      <c r="G456" s="14"/>
      <c r="H456" s="14">
        <v>753.4</v>
      </c>
      <c r="I456" s="14"/>
      <c r="J456" s="14"/>
      <c r="K456" s="154"/>
    </row>
    <row r="457" spans="1:11" x14ac:dyDescent="0.2">
      <c r="A457" s="335"/>
      <c r="B457" s="177"/>
      <c r="C457" s="152"/>
      <c r="D457" s="152"/>
      <c r="E457" s="133">
        <v>2017</v>
      </c>
      <c r="F457" s="81">
        <f t="shared" si="29"/>
        <v>855</v>
      </c>
      <c r="G457" s="14"/>
      <c r="H457" s="14">
        <v>855</v>
      </c>
      <c r="I457" s="14"/>
      <c r="J457" s="14"/>
      <c r="K457" s="154"/>
    </row>
    <row r="458" spans="1:11" x14ac:dyDescent="0.2">
      <c r="A458" s="335"/>
      <c r="B458" s="177"/>
      <c r="C458" s="152"/>
      <c r="D458" s="152"/>
      <c r="E458" s="133">
        <v>2018</v>
      </c>
      <c r="F458" s="81">
        <f t="shared" si="29"/>
        <v>737.6</v>
      </c>
      <c r="G458" s="14"/>
      <c r="H458" s="14">
        <v>737.6</v>
      </c>
      <c r="I458" s="14"/>
      <c r="J458" s="14"/>
      <c r="K458" s="154"/>
    </row>
    <row r="459" spans="1:11" x14ac:dyDescent="0.2">
      <c r="A459" s="335"/>
      <c r="B459" s="177"/>
      <c r="C459" s="152"/>
      <c r="D459" s="152"/>
      <c r="E459" s="133">
        <v>2019</v>
      </c>
      <c r="F459" s="81">
        <f t="shared" si="29"/>
        <v>778.2</v>
      </c>
      <c r="G459" s="14"/>
      <c r="H459" s="14">
        <v>778.2</v>
      </c>
      <c r="I459" s="14"/>
      <c r="J459" s="14"/>
      <c r="K459" s="154"/>
    </row>
    <row r="460" spans="1:11" x14ac:dyDescent="0.2">
      <c r="A460" s="335"/>
      <c r="B460" s="177"/>
      <c r="C460" s="152"/>
      <c r="D460" s="152"/>
      <c r="E460" s="133">
        <v>2020</v>
      </c>
      <c r="F460" s="81">
        <f t="shared" si="29"/>
        <v>817.1</v>
      </c>
      <c r="G460" s="14"/>
      <c r="H460" s="14">
        <v>817.1</v>
      </c>
      <c r="I460" s="14"/>
      <c r="J460" s="14"/>
      <c r="K460" s="154"/>
    </row>
    <row r="461" spans="1:11" x14ac:dyDescent="0.2">
      <c r="A461" s="335"/>
      <c r="B461" s="157"/>
      <c r="C461" s="152"/>
      <c r="D461" s="153"/>
      <c r="E461" s="24" t="s">
        <v>18</v>
      </c>
      <c r="F461" s="21">
        <f>SUM(F455:F460)</f>
        <v>4701.2000000000007</v>
      </c>
      <c r="G461" s="13"/>
      <c r="H461" s="13">
        <f>SUM(H455:H460)</f>
        <v>4701.2000000000007</v>
      </c>
      <c r="I461" s="13"/>
      <c r="J461" s="13"/>
      <c r="K461" s="154"/>
    </row>
    <row r="462" spans="1:11" x14ac:dyDescent="0.2">
      <c r="A462" s="334" t="s">
        <v>133</v>
      </c>
      <c r="B462" s="259" t="s">
        <v>106</v>
      </c>
      <c r="C462" s="167" t="s">
        <v>84</v>
      </c>
      <c r="D462" s="151" t="s">
        <v>257</v>
      </c>
      <c r="E462" s="133">
        <v>2015</v>
      </c>
      <c r="F462" s="81">
        <f t="shared" ref="F462:F467" si="30">SUM(G462:J462)</f>
        <v>285</v>
      </c>
      <c r="G462" s="14"/>
      <c r="H462" s="14"/>
      <c r="I462" s="14">
        <v>285</v>
      </c>
      <c r="J462" s="14"/>
      <c r="K462" s="154"/>
    </row>
    <row r="463" spans="1:11" x14ac:dyDescent="0.2">
      <c r="A463" s="335"/>
      <c r="B463" s="177"/>
      <c r="C463" s="152"/>
      <c r="D463" s="152"/>
      <c r="E463" s="133">
        <v>2016</v>
      </c>
      <c r="F463" s="81">
        <f t="shared" si="30"/>
        <v>281.39999999999998</v>
      </c>
      <c r="G463" s="14"/>
      <c r="H463" s="14"/>
      <c r="I463" s="14">
        <v>281.39999999999998</v>
      </c>
      <c r="J463" s="14"/>
      <c r="K463" s="154"/>
    </row>
    <row r="464" spans="1:11" x14ac:dyDescent="0.2">
      <c r="A464" s="335"/>
      <c r="B464" s="177"/>
      <c r="C464" s="152"/>
      <c r="D464" s="152"/>
      <c r="E464" s="133">
        <v>2017</v>
      </c>
      <c r="F464" s="81">
        <f t="shared" si="30"/>
        <v>0</v>
      </c>
      <c r="G464" s="14"/>
      <c r="H464" s="14"/>
      <c r="I464" s="14"/>
      <c r="J464" s="14"/>
      <c r="K464" s="154"/>
    </row>
    <row r="465" spans="1:35" x14ac:dyDescent="0.2">
      <c r="A465" s="335"/>
      <c r="B465" s="177"/>
      <c r="C465" s="152"/>
      <c r="D465" s="152"/>
      <c r="E465" s="133">
        <v>2018</v>
      </c>
      <c r="F465" s="81">
        <f t="shared" si="30"/>
        <v>272.7</v>
      </c>
      <c r="G465" s="14"/>
      <c r="H465" s="14"/>
      <c r="I465" s="14">
        <v>272.7</v>
      </c>
      <c r="J465" s="14"/>
      <c r="K465" s="154"/>
    </row>
    <row r="466" spans="1:35" x14ac:dyDescent="0.2">
      <c r="A466" s="335"/>
      <c r="B466" s="177"/>
      <c r="C466" s="152"/>
      <c r="D466" s="152"/>
      <c r="E466" s="133">
        <v>2019</v>
      </c>
      <c r="F466" s="81">
        <f t="shared" si="30"/>
        <v>267.5</v>
      </c>
      <c r="G466" s="14"/>
      <c r="H466" s="14"/>
      <c r="I466" s="14">
        <v>267.5</v>
      </c>
      <c r="J466" s="14"/>
      <c r="K466" s="154"/>
    </row>
    <row r="467" spans="1:35" x14ac:dyDescent="0.2">
      <c r="A467" s="335"/>
      <c r="B467" s="177"/>
      <c r="C467" s="152"/>
      <c r="D467" s="152"/>
      <c r="E467" s="133">
        <v>2020</v>
      </c>
      <c r="F467" s="81">
        <f t="shared" si="30"/>
        <v>261.8</v>
      </c>
      <c r="G467" s="14"/>
      <c r="H467" s="14"/>
      <c r="I467" s="14">
        <v>261.8</v>
      </c>
      <c r="J467" s="14"/>
      <c r="K467" s="154"/>
    </row>
    <row r="468" spans="1:35" ht="60.75" customHeight="1" x14ac:dyDescent="0.2">
      <c r="A468" s="335"/>
      <c r="B468" s="157"/>
      <c r="C468" s="152"/>
      <c r="D468" s="153"/>
      <c r="E468" s="24" t="s">
        <v>18</v>
      </c>
      <c r="F468" s="21">
        <f>SUM(F462:F467)</f>
        <v>1368.3999999999999</v>
      </c>
      <c r="G468" s="13"/>
      <c r="H468" s="13"/>
      <c r="I468" s="13">
        <f>SUM(I462:I467)</f>
        <v>1368.3999999999999</v>
      </c>
      <c r="J468" s="13"/>
      <c r="K468" s="154"/>
    </row>
    <row r="469" spans="1:35" x14ac:dyDescent="0.2">
      <c r="A469" s="334" t="s">
        <v>135</v>
      </c>
      <c r="B469" s="164" t="s">
        <v>107</v>
      </c>
      <c r="C469" s="167" t="s">
        <v>84</v>
      </c>
      <c r="D469" s="151" t="s">
        <v>257</v>
      </c>
      <c r="E469" s="133">
        <v>2015</v>
      </c>
      <c r="F469" s="81">
        <f t="shared" ref="F469:F474" si="31">SUM(G469:I469)</f>
        <v>7143.2</v>
      </c>
      <c r="G469" s="14"/>
      <c r="H469" s="14">
        <f>7797.5+70.5-920.2-88.1</f>
        <v>6859.7</v>
      </c>
      <c r="I469" s="14">
        <v>283.5</v>
      </c>
      <c r="J469" s="14"/>
      <c r="K469" s="154"/>
    </row>
    <row r="470" spans="1:35" x14ac:dyDescent="0.2">
      <c r="A470" s="335"/>
      <c r="B470" s="165"/>
      <c r="C470" s="152"/>
      <c r="D470" s="152"/>
      <c r="E470" s="133">
        <v>2016</v>
      </c>
      <c r="F470" s="81">
        <f t="shared" si="31"/>
        <v>8459.5</v>
      </c>
      <c r="G470" s="14"/>
      <c r="H470" s="14">
        <f>9160.9-998.2</f>
        <v>8162.7</v>
      </c>
      <c r="I470" s="14">
        <v>296.8</v>
      </c>
      <c r="J470" s="14"/>
      <c r="K470" s="154"/>
    </row>
    <row r="471" spans="1:35" x14ac:dyDescent="0.2">
      <c r="A471" s="335"/>
      <c r="B471" s="165"/>
      <c r="C471" s="152"/>
      <c r="D471" s="152"/>
      <c r="E471" s="133">
        <v>2017</v>
      </c>
      <c r="F471" s="81">
        <f t="shared" si="31"/>
        <v>8824.5</v>
      </c>
      <c r="G471" s="14"/>
      <c r="H471" s="14">
        <v>8514.9</v>
      </c>
      <c r="I471" s="14">
        <v>309.60000000000002</v>
      </c>
      <c r="J471" s="14"/>
      <c r="K471" s="154"/>
    </row>
    <row r="472" spans="1:35" x14ac:dyDescent="0.2">
      <c r="A472" s="335"/>
      <c r="B472" s="165"/>
      <c r="C472" s="152"/>
      <c r="D472" s="152"/>
      <c r="E472" s="133">
        <v>2018</v>
      </c>
      <c r="F472" s="81">
        <f t="shared" si="31"/>
        <v>12141</v>
      </c>
      <c r="G472" s="14"/>
      <c r="H472" s="14">
        <v>12080</v>
      </c>
      <c r="I472" s="14">
        <v>61</v>
      </c>
      <c r="J472" s="14"/>
      <c r="K472" s="154"/>
    </row>
    <row r="473" spans="1:35" x14ac:dyDescent="0.2">
      <c r="A473" s="335"/>
      <c r="B473" s="165"/>
      <c r="C473" s="152"/>
      <c r="D473" s="152"/>
      <c r="E473" s="133">
        <v>2019</v>
      </c>
      <c r="F473" s="81">
        <f t="shared" si="31"/>
        <v>12787.4</v>
      </c>
      <c r="G473" s="14"/>
      <c r="H473" s="14">
        <v>12723</v>
      </c>
      <c r="I473" s="14">
        <v>64.400000000000006</v>
      </c>
      <c r="J473" s="14"/>
      <c r="K473" s="154"/>
    </row>
    <row r="474" spans="1:35" x14ac:dyDescent="0.2">
      <c r="A474" s="335"/>
      <c r="B474" s="165"/>
      <c r="C474" s="152"/>
      <c r="D474" s="152"/>
      <c r="E474" s="133">
        <v>2020</v>
      </c>
      <c r="F474" s="81">
        <f t="shared" si="31"/>
        <v>13426.2</v>
      </c>
      <c r="G474" s="14"/>
      <c r="H474" s="14">
        <v>13359</v>
      </c>
      <c r="I474" s="14">
        <v>67.2</v>
      </c>
      <c r="J474" s="14"/>
      <c r="K474" s="154"/>
    </row>
    <row r="475" spans="1:35" ht="35.25" customHeight="1" x14ac:dyDescent="0.2">
      <c r="A475" s="335"/>
      <c r="B475" s="165"/>
      <c r="C475" s="152"/>
      <c r="D475" s="153"/>
      <c r="E475" s="24" t="s">
        <v>18</v>
      </c>
      <c r="F475" s="21">
        <f>SUM(F469:F474)</f>
        <v>62781.8</v>
      </c>
      <c r="G475" s="13"/>
      <c r="H475" s="13">
        <f>SUM(H469:H474)</f>
        <v>61699.3</v>
      </c>
      <c r="I475" s="13">
        <f>SUM(I469:I474)</f>
        <v>1082.5</v>
      </c>
      <c r="J475" s="14"/>
      <c r="K475" s="155"/>
    </row>
    <row r="476" spans="1:35" ht="26.25" thickBot="1" x14ac:dyDescent="0.25">
      <c r="A476" s="169" t="s">
        <v>243</v>
      </c>
      <c r="B476" s="177"/>
      <c r="C476" s="177"/>
      <c r="D476" s="177"/>
      <c r="E476" s="63" t="s">
        <v>75</v>
      </c>
      <c r="F476" s="20">
        <f>F454+F461+F468+F475</f>
        <v>81764.700000000012</v>
      </c>
      <c r="G476" s="20">
        <f>G454+G461+G468+G475</f>
        <v>0</v>
      </c>
      <c r="H476" s="20">
        <f>H454+H461+H468+H475</f>
        <v>79313.8</v>
      </c>
      <c r="I476" s="20">
        <f>I454+I461+I468+I475</f>
        <v>2450.8999999999996</v>
      </c>
      <c r="J476" s="18"/>
      <c r="K476" s="63"/>
    </row>
    <row r="477" spans="1:35" ht="27" customHeight="1" thickBot="1" x14ac:dyDescent="0.25">
      <c r="A477" s="350" t="s">
        <v>244</v>
      </c>
      <c r="B477" s="351"/>
      <c r="C477" s="351"/>
      <c r="D477" s="351"/>
      <c r="E477" s="351"/>
      <c r="F477" s="351"/>
      <c r="G477" s="351"/>
      <c r="H477" s="351"/>
      <c r="I477" s="351"/>
      <c r="J477" s="351"/>
      <c r="K477" s="352"/>
      <c r="L477" s="72"/>
      <c r="M477" s="72"/>
      <c r="N477" s="72"/>
      <c r="O477" s="72"/>
      <c r="P477" s="72"/>
      <c r="Q477" s="72"/>
      <c r="R477" s="72"/>
      <c r="S477" s="72"/>
      <c r="T477" s="72"/>
      <c r="U477" s="72"/>
      <c r="V477" s="72"/>
      <c r="W477" s="72"/>
      <c r="X477" s="72"/>
      <c r="Y477" s="72"/>
      <c r="Z477" s="72"/>
      <c r="AA477" s="72"/>
      <c r="AB477" s="72"/>
      <c r="AC477" s="72"/>
      <c r="AD477" s="72"/>
      <c r="AE477" s="72"/>
      <c r="AF477" s="72"/>
      <c r="AG477" s="72"/>
      <c r="AH477" s="72"/>
      <c r="AI477" s="73"/>
    </row>
    <row r="478" spans="1:35" ht="15" thickBot="1" x14ac:dyDescent="0.25">
      <c r="A478" s="350" t="s">
        <v>245</v>
      </c>
      <c r="B478" s="351"/>
      <c r="C478" s="351"/>
      <c r="D478" s="351"/>
      <c r="E478" s="351"/>
      <c r="F478" s="351"/>
      <c r="G478" s="351"/>
      <c r="H478" s="351"/>
      <c r="I478" s="351"/>
      <c r="J478" s="351"/>
      <c r="K478" s="352"/>
    </row>
    <row r="479" spans="1:35" x14ac:dyDescent="0.2">
      <c r="A479" s="334" t="s">
        <v>79</v>
      </c>
      <c r="B479" s="164" t="s">
        <v>108</v>
      </c>
      <c r="C479" s="148" t="s">
        <v>75</v>
      </c>
      <c r="D479" s="250" t="s">
        <v>257</v>
      </c>
      <c r="E479" s="133">
        <v>2015</v>
      </c>
      <c r="F479" s="81">
        <f t="shared" ref="F479:F484" si="32">SUM(G479:I479)</f>
        <v>45</v>
      </c>
      <c r="G479" s="14"/>
      <c r="H479" s="14"/>
      <c r="I479" s="14">
        <v>45</v>
      </c>
      <c r="J479" s="14"/>
      <c r="K479" s="250" t="s">
        <v>211</v>
      </c>
    </row>
    <row r="480" spans="1:35" x14ac:dyDescent="0.2">
      <c r="A480" s="335"/>
      <c r="B480" s="165"/>
      <c r="C480" s="149"/>
      <c r="D480" s="152"/>
      <c r="E480" s="133">
        <v>2016</v>
      </c>
      <c r="F480" s="81">
        <f t="shared" si="32"/>
        <v>47</v>
      </c>
      <c r="G480" s="14"/>
      <c r="H480" s="14"/>
      <c r="I480" s="14">
        <v>47</v>
      </c>
      <c r="J480" s="14"/>
      <c r="K480" s="154"/>
    </row>
    <row r="481" spans="1:11" x14ac:dyDescent="0.2">
      <c r="A481" s="335"/>
      <c r="B481" s="165"/>
      <c r="C481" s="149"/>
      <c r="D481" s="152"/>
      <c r="E481" s="133">
        <v>2017</v>
      </c>
      <c r="F481" s="81">
        <f t="shared" si="32"/>
        <v>0</v>
      </c>
      <c r="G481" s="14"/>
      <c r="H481" s="14"/>
      <c r="I481" s="14"/>
      <c r="J481" s="14"/>
      <c r="K481" s="154"/>
    </row>
    <row r="482" spans="1:11" x14ac:dyDescent="0.2">
      <c r="A482" s="335"/>
      <c r="B482" s="165"/>
      <c r="C482" s="149"/>
      <c r="D482" s="152"/>
      <c r="E482" s="133">
        <v>2018</v>
      </c>
      <c r="F482" s="81">
        <f t="shared" si="32"/>
        <v>51</v>
      </c>
      <c r="G482" s="14"/>
      <c r="H482" s="14"/>
      <c r="I482" s="14">
        <v>51</v>
      </c>
      <c r="J482" s="14"/>
      <c r="K482" s="154"/>
    </row>
    <row r="483" spans="1:11" x14ac:dyDescent="0.2">
      <c r="A483" s="335"/>
      <c r="B483" s="165"/>
      <c r="C483" s="149"/>
      <c r="D483" s="152"/>
      <c r="E483" s="133">
        <v>2019</v>
      </c>
      <c r="F483" s="81">
        <f t="shared" si="32"/>
        <v>53</v>
      </c>
      <c r="G483" s="14"/>
      <c r="H483" s="14"/>
      <c r="I483" s="14">
        <v>53</v>
      </c>
      <c r="J483" s="14"/>
      <c r="K483" s="154"/>
    </row>
    <row r="484" spans="1:11" x14ac:dyDescent="0.2">
      <c r="A484" s="335"/>
      <c r="B484" s="165"/>
      <c r="C484" s="149"/>
      <c r="D484" s="152"/>
      <c r="E484" s="133">
        <v>2020</v>
      </c>
      <c r="F484" s="81">
        <f t="shared" si="32"/>
        <v>55</v>
      </c>
      <c r="G484" s="14"/>
      <c r="H484" s="14"/>
      <c r="I484" s="14">
        <v>55</v>
      </c>
      <c r="J484" s="14"/>
      <c r="K484" s="154"/>
    </row>
    <row r="485" spans="1:11" x14ac:dyDescent="0.2">
      <c r="A485" s="335"/>
      <c r="B485" s="165"/>
      <c r="C485" s="149"/>
      <c r="D485" s="153"/>
      <c r="E485" s="24" t="s">
        <v>18</v>
      </c>
      <c r="F485" s="21">
        <f>SUM(F479:F484)</f>
        <v>251</v>
      </c>
      <c r="G485" s="13"/>
      <c r="H485" s="13"/>
      <c r="I485" s="13">
        <f>SUM(I479:I484)</f>
        <v>251</v>
      </c>
      <c r="J485" s="14"/>
      <c r="K485" s="155"/>
    </row>
    <row r="486" spans="1:11" x14ac:dyDescent="0.2">
      <c r="A486" s="143" t="s">
        <v>88</v>
      </c>
      <c r="B486" s="164" t="s">
        <v>109</v>
      </c>
      <c r="C486" s="148" t="s">
        <v>75</v>
      </c>
      <c r="D486" s="151" t="s">
        <v>257</v>
      </c>
      <c r="E486" s="133">
        <v>2015</v>
      </c>
      <c r="F486" s="81">
        <f t="shared" ref="F486:F491" si="33">I486</f>
        <v>12</v>
      </c>
      <c r="G486" s="14"/>
      <c r="H486" s="14"/>
      <c r="I486" s="14">
        <v>12</v>
      </c>
      <c r="J486" s="14"/>
      <c r="K486" s="151" t="s">
        <v>212</v>
      </c>
    </row>
    <row r="487" spans="1:11" x14ac:dyDescent="0.2">
      <c r="A487" s="144"/>
      <c r="B487" s="165"/>
      <c r="C487" s="149"/>
      <c r="D487" s="152"/>
      <c r="E487" s="133">
        <v>2016</v>
      </c>
      <c r="F487" s="81">
        <f t="shared" si="33"/>
        <v>12.5</v>
      </c>
      <c r="G487" s="14"/>
      <c r="H487" s="14"/>
      <c r="I487" s="14">
        <v>12.5</v>
      </c>
      <c r="J487" s="14"/>
      <c r="K487" s="154"/>
    </row>
    <row r="488" spans="1:11" x14ac:dyDescent="0.2">
      <c r="A488" s="144"/>
      <c r="B488" s="165"/>
      <c r="C488" s="149"/>
      <c r="D488" s="152"/>
      <c r="E488" s="133">
        <v>2017</v>
      </c>
      <c r="F488" s="81">
        <f t="shared" si="33"/>
        <v>0</v>
      </c>
      <c r="G488" s="14"/>
      <c r="H488" s="14"/>
      <c r="I488" s="14"/>
      <c r="J488" s="14"/>
      <c r="K488" s="154"/>
    </row>
    <row r="489" spans="1:11" x14ac:dyDescent="0.2">
      <c r="A489" s="144"/>
      <c r="B489" s="165"/>
      <c r="C489" s="149"/>
      <c r="D489" s="152"/>
      <c r="E489" s="133">
        <v>2018</v>
      </c>
      <c r="F489" s="81">
        <f t="shared" si="33"/>
        <v>13.5</v>
      </c>
      <c r="G489" s="14"/>
      <c r="H489" s="14"/>
      <c r="I489" s="14">
        <v>13.5</v>
      </c>
      <c r="J489" s="14"/>
      <c r="K489" s="154"/>
    </row>
    <row r="490" spans="1:11" x14ac:dyDescent="0.2">
      <c r="A490" s="144"/>
      <c r="B490" s="165"/>
      <c r="C490" s="149"/>
      <c r="D490" s="152"/>
      <c r="E490" s="133">
        <v>2019</v>
      </c>
      <c r="F490" s="81">
        <f t="shared" si="33"/>
        <v>14</v>
      </c>
      <c r="G490" s="14"/>
      <c r="H490" s="14"/>
      <c r="I490" s="14">
        <v>14</v>
      </c>
      <c r="J490" s="14"/>
      <c r="K490" s="154"/>
    </row>
    <row r="491" spans="1:11" x14ac:dyDescent="0.2">
      <c r="A491" s="144"/>
      <c r="B491" s="165"/>
      <c r="C491" s="149"/>
      <c r="D491" s="152"/>
      <c r="E491" s="133">
        <v>2020</v>
      </c>
      <c r="F491" s="81">
        <f t="shared" si="33"/>
        <v>14.5</v>
      </c>
      <c r="G491" s="14"/>
      <c r="H491" s="14"/>
      <c r="I491" s="14">
        <v>14.5</v>
      </c>
      <c r="J491" s="14"/>
      <c r="K491" s="154"/>
    </row>
    <row r="492" spans="1:11" x14ac:dyDescent="0.2">
      <c r="A492" s="144"/>
      <c r="B492" s="165"/>
      <c r="C492" s="149"/>
      <c r="D492" s="153"/>
      <c r="E492" s="24" t="s">
        <v>18</v>
      </c>
      <c r="F492" s="21">
        <f>SUM(F486:F491)</f>
        <v>66.5</v>
      </c>
      <c r="G492" s="13"/>
      <c r="H492" s="13"/>
      <c r="I492" s="13">
        <f>SUM(I486:I491)</f>
        <v>66.5</v>
      </c>
      <c r="J492" s="14"/>
      <c r="K492" s="155"/>
    </row>
    <row r="493" spans="1:11" x14ac:dyDescent="0.2">
      <c r="A493" s="143" t="s">
        <v>110</v>
      </c>
      <c r="B493" s="164" t="s">
        <v>111</v>
      </c>
      <c r="C493" s="148" t="s">
        <v>75</v>
      </c>
      <c r="D493" s="151" t="s">
        <v>257</v>
      </c>
      <c r="E493" s="133">
        <v>2015</v>
      </c>
      <c r="F493" s="82"/>
      <c r="G493" s="2"/>
      <c r="H493" s="2"/>
      <c r="I493" s="2"/>
      <c r="J493" s="2"/>
      <c r="K493" s="151" t="s">
        <v>213</v>
      </c>
    </row>
    <row r="494" spans="1:11" x14ac:dyDescent="0.2">
      <c r="A494" s="144"/>
      <c r="B494" s="165"/>
      <c r="C494" s="149"/>
      <c r="D494" s="152"/>
      <c r="E494" s="133">
        <v>2016</v>
      </c>
      <c r="F494" s="82"/>
      <c r="G494" s="2"/>
      <c r="H494" s="2"/>
      <c r="I494" s="2"/>
      <c r="J494" s="2"/>
      <c r="K494" s="154"/>
    </row>
    <row r="495" spans="1:11" x14ac:dyDescent="0.2">
      <c r="A495" s="144"/>
      <c r="B495" s="165"/>
      <c r="C495" s="149"/>
      <c r="D495" s="152"/>
      <c r="E495" s="133">
        <v>2017</v>
      </c>
      <c r="F495" s="82"/>
      <c r="G495" s="2"/>
      <c r="H495" s="2"/>
      <c r="I495" s="2"/>
      <c r="J495" s="2"/>
      <c r="K495" s="154"/>
    </row>
    <row r="496" spans="1:11" x14ac:dyDescent="0.2">
      <c r="A496" s="144"/>
      <c r="B496" s="165"/>
      <c r="C496" s="149"/>
      <c r="D496" s="152"/>
      <c r="E496" s="133">
        <v>2018</v>
      </c>
      <c r="F496" s="82"/>
      <c r="G496" s="2"/>
      <c r="H496" s="2"/>
      <c r="I496" s="2"/>
      <c r="J496" s="2"/>
      <c r="K496" s="154"/>
    </row>
    <row r="497" spans="1:35" x14ac:dyDescent="0.2">
      <c r="A497" s="144"/>
      <c r="B497" s="165"/>
      <c r="C497" s="149"/>
      <c r="D497" s="152"/>
      <c r="E497" s="133">
        <v>2019</v>
      </c>
      <c r="F497" s="82"/>
      <c r="G497" s="2"/>
      <c r="H497" s="2"/>
      <c r="I497" s="2"/>
      <c r="J497" s="2"/>
      <c r="K497" s="154"/>
    </row>
    <row r="498" spans="1:35" x14ac:dyDescent="0.2">
      <c r="A498" s="144"/>
      <c r="B498" s="165"/>
      <c r="C498" s="149"/>
      <c r="D498" s="152"/>
      <c r="E498" s="133">
        <v>2020</v>
      </c>
      <c r="F498" s="82"/>
      <c r="G498" s="2"/>
      <c r="H498" s="2"/>
      <c r="I498" s="2"/>
      <c r="J498" s="2"/>
      <c r="K498" s="154"/>
    </row>
    <row r="499" spans="1:35" x14ac:dyDescent="0.2">
      <c r="A499" s="144"/>
      <c r="B499" s="165"/>
      <c r="C499" s="149"/>
      <c r="D499" s="153"/>
      <c r="E499" s="24" t="s">
        <v>18</v>
      </c>
      <c r="F499" s="82"/>
      <c r="G499" s="2"/>
      <c r="H499" s="2"/>
      <c r="I499" s="2"/>
      <c r="J499" s="2"/>
      <c r="K499" s="155"/>
    </row>
    <row r="500" spans="1:35" ht="12.75" customHeight="1" x14ac:dyDescent="0.2">
      <c r="A500" s="143" t="s">
        <v>112</v>
      </c>
      <c r="B500" s="164" t="s">
        <v>113</v>
      </c>
      <c r="C500" s="148" t="s">
        <v>75</v>
      </c>
      <c r="D500" s="151" t="s">
        <v>257</v>
      </c>
      <c r="E500" s="133">
        <v>2015</v>
      </c>
      <c r="F500" s="82"/>
      <c r="G500" s="2"/>
      <c r="H500" s="2"/>
      <c r="I500" s="2"/>
      <c r="J500" s="2"/>
      <c r="K500" s="151" t="s">
        <v>214</v>
      </c>
    </row>
    <row r="501" spans="1:35" x14ac:dyDescent="0.2">
      <c r="A501" s="144"/>
      <c r="B501" s="165"/>
      <c r="C501" s="149"/>
      <c r="D501" s="152"/>
      <c r="E501" s="133">
        <v>2016</v>
      </c>
      <c r="F501" s="82"/>
      <c r="G501" s="2"/>
      <c r="H501" s="2"/>
      <c r="I501" s="2"/>
      <c r="J501" s="2"/>
      <c r="K501" s="154"/>
    </row>
    <row r="502" spans="1:35" x14ac:dyDescent="0.2">
      <c r="A502" s="144"/>
      <c r="B502" s="165"/>
      <c r="C502" s="149"/>
      <c r="D502" s="152"/>
      <c r="E502" s="133">
        <v>2017</v>
      </c>
      <c r="F502" s="82"/>
      <c r="G502" s="2"/>
      <c r="H502" s="2"/>
      <c r="I502" s="2"/>
      <c r="J502" s="2"/>
      <c r="K502" s="154"/>
    </row>
    <row r="503" spans="1:35" x14ac:dyDescent="0.2">
      <c r="A503" s="144"/>
      <c r="B503" s="165"/>
      <c r="C503" s="149"/>
      <c r="D503" s="152"/>
      <c r="E503" s="133">
        <v>2018</v>
      </c>
      <c r="F503" s="82"/>
      <c r="G503" s="2"/>
      <c r="H503" s="2"/>
      <c r="I503" s="2"/>
      <c r="J503" s="2"/>
      <c r="K503" s="154"/>
    </row>
    <row r="504" spans="1:35" x14ac:dyDescent="0.2">
      <c r="A504" s="144"/>
      <c r="B504" s="165"/>
      <c r="C504" s="149"/>
      <c r="D504" s="152"/>
      <c r="E504" s="133">
        <v>2019</v>
      </c>
      <c r="F504" s="82"/>
      <c r="G504" s="2"/>
      <c r="H504" s="2"/>
      <c r="I504" s="2"/>
      <c r="J504" s="2"/>
      <c r="K504" s="154"/>
    </row>
    <row r="505" spans="1:35" x14ac:dyDescent="0.2">
      <c r="A505" s="144"/>
      <c r="B505" s="165"/>
      <c r="C505" s="149"/>
      <c r="D505" s="152"/>
      <c r="E505" s="133">
        <v>2020</v>
      </c>
      <c r="F505" s="82"/>
      <c r="G505" s="2"/>
      <c r="H505" s="2"/>
      <c r="I505" s="2"/>
      <c r="J505" s="2"/>
      <c r="K505" s="154"/>
    </row>
    <row r="506" spans="1:35" ht="24.75" customHeight="1" x14ac:dyDescent="0.2">
      <c r="A506" s="144"/>
      <c r="B506" s="165"/>
      <c r="C506" s="149"/>
      <c r="D506" s="153"/>
      <c r="E506" s="24" t="s">
        <v>18</v>
      </c>
      <c r="F506" s="82"/>
      <c r="G506" s="2"/>
      <c r="H506" s="2"/>
      <c r="I506" s="2"/>
      <c r="J506" s="2"/>
      <c r="K506" s="154"/>
    </row>
    <row r="507" spans="1:35" ht="26.25" thickBot="1" x14ac:dyDescent="0.25">
      <c r="A507" s="156" t="s">
        <v>246</v>
      </c>
      <c r="B507" s="157"/>
      <c r="C507" s="157"/>
      <c r="D507" s="157"/>
      <c r="E507" s="6" t="s">
        <v>75</v>
      </c>
      <c r="F507" s="17">
        <f>F485+F492</f>
        <v>317.5</v>
      </c>
      <c r="G507" s="17"/>
      <c r="H507" s="17"/>
      <c r="I507" s="17">
        <f>I485+I492</f>
        <v>317.5</v>
      </c>
      <c r="J507" s="17"/>
      <c r="K507" s="131"/>
    </row>
    <row r="508" spans="1:35" ht="31.5" customHeight="1" thickBot="1" x14ac:dyDescent="0.25">
      <c r="A508" s="225" t="s">
        <v>247</v>
      </c>
      <c r="B508" s="291"/>
      <c r="C508" s="291"/>
      <c r="D508" s="291"/>
      <c r="E508" s="291"/>
      <c r="F508" s="291"/>
      <c r="G508" s="291"/>
      <c r="H508" s="291"/>
      <c r="I508" s="291"/>
      <c r="J508" s="291"/>
      <c r="K508" s="291"/>
      <c r="L508" s="83"/>
      <c r="M508" s="83"/>
      <c r="N508" s="83"/>
      <c r="O508" s="83"/>
      <c r="P508" s="83"/>
      <c r="Q508" s="83"/>
      <c r="R508" s="83"/>
      <c r="S508" s="83"/>
      <c r="T508" s="83"/>
      <c r="U508" s="83"/>
      <c r="V508" s="83"/>
      <c r="W508" s="83"/>
      <c r="X508" s="83"/>
      <c r="Y508" s="83"/>
      <c r="Z508" s="83"/>
      <c r="AA508" s="83"/>
      <c r="AB508" s="83"/>
      <c r="AC508" s="83"/>
      <c r="AD508" s="83"/>
      <c r="AE508" s="83"/>
      <c r="AF508" s="83"/>
      <c r="AG508" s="83"/>
      <c r="AH508" s="83"/>
      <c r="AI508" s="84"/>
    </row>
    <row r="509" spans="1:35" ht="30" customHeight="1" thickBot="1" x14ac:dyDescent="0.25">
      <c r="A509" s="219" t="s">
        <v>248</v>
      </c>
      <c r="B509" s="399"/>
      <c r="C509" s="399"/>
      <c r="D509" s="220"/>
      <c r="E509" s="220"/>
      <c r="F509" s="220"/>
      <c r="G509" s="220"/>
      <c r="H509" s="220"/>
      <c r="I509" s="220"/>
      <c r="J509" s="220"/>
      <c r="K509" s="220"/>
      <c r="L509" s="85"/>
      <c r="M509" s="85"/>
      <c r="N509" s="85"/>
      <c r="O509" s="85"/>
      <c r="P509" s="85"/>
      <c r="Q509" s="85"/>
      <c r="R509" s="85"/>
      <c r="S509" s="85"/>
      <c r="T509" s="85"/>
      <c r="U509" s="85"/>
      <c r="V509" s="85"/>
      <c r="W509" s="85"/>
      <c r="X509" s="85"/>
      <c r="Y509" s="85"/>
      <c r="Z509" s="85"/>
      <c r="AA509" s="85"/>
      <c r="AB509" s="85"/>
      <c r="AC509" s="85"/>
      <c r="AD509" s="85"/>
      <c r="AE509" s="85"/>
      <c r="AF509" s="85"/>
      <c r="AG509" s="85"/>
      <c r="AH509" s="85"/>
      <c r="AI509" s="86"/>
    </row>
    <row r="510" spans="1:35" x14ac:dyDescent="0.2">
      <c r="A510" s="143" t="s">
        <v>114</v>
      </c>
      <c r="B510" s="164" t="s">
        <v>115</v>
      </c>
      <c r="C510" s="148" t="s">
        <v>75</v>
      </c>
      <c r="D510" s="151" t="s">
        <v>257</v>
      </c>
      <c r="E510" s="133">
        <v>2015</v>
      </c>
      <c r="F510" s="81">
        <f t="shared" ref="F510:F515" si="34">SUM(G510:I510)</f>
        <v>170</v>
      </c>
      <c r="G510" s="14"/>
      <c r="H510" s="14"/>
      <c r="I510" s="14">
        <v>170</v>
      </c>
      <c r="J510" s="14"/>
      <c r="K510" s="151" t="s">
        <v>215</v>
      </c>
    </row>
    <row r="511" spans="1:35" x14ac:dyDescent="0.2">
      <c r="A511" s="144"/>
      <c r="B511" s="165"/>
      <c r="C511" s="149"/>
      <c r="D511" s="152"/>
      <c r="E511" s="133">
        <v>2016</v>
      </c>
      <c r="F511" s="81">
        <f t="shared" si="34"/>
        <v>180</v>
      </c>
      <c r="G511" s="14"/>
      <c r="H511" s="14"/>
      <c r="I511" s="14">
        <v>180</v>
      </c>
      <c r="J511" s="14"/>
      <c r="K511" s="154"/>
    </row>
    <row r="512" spans="1:35" x14ac:dyDescent="0.2">
      <c r="A512" s="144"/>
      <c r="B512" s="165"/>
      <c r="C512" s="149"/>
      <c r="D512" s="152"/>
      <c r="E512" s="133">
        <v>2017</v>
      </c>
      <c r="F512" s="81">
        <f t="shared" si="34"/>
        <v>0</v>
      </c>
      <c r="G512" s="14"/>
      <c r="H512" s="14"/>
      <c r="I512" s="14"/>
      <c r="J512" s="14"/>
      <c r="K512" s="154"/>
    </row>
    <row r="513" spans="1:35" x14ac:dyDescent="0.2">
      <c r="A513" s="144"/>
      <c r="B513" s="165"/>
      <c r="C513" s="149"/>
      <c r="D513" s="152"/>
      <c r="E513" s="133">
        <v>2018</v>
      </c>
      <c r="F513" s="81">
        <f t="shared" si="34"/>
        <v>200</v>
      </c>
      <c r="G513" s="14"/>
      <c r="H513" s="14"/>
      <c r="I513" s="14">
        <v>200</v>
      </c>
      <c r="J513" s="14"/>
      <c r="K513" s="154"/>
    </row>
    <row r="514" spans="1:35" x14ac:dyDescent="0.2">
      <c r="A514" s="144"/>
      <c r="B514" s="165"/>
      <c r="C514" s="149"/>
      <c r="D514" s="152"/>
      <c r="E514" s="133">
        <v>2019</v>
      </c>
      <c r="F514" s="81">
        <f t="shared" si="34"/>
        <v>210</v>
      </c>
      <c r="G514" s="14"/>
      <c r="H514" s="14"/>
      <c r="I514" s="14">
        <v>210</v>
      </c>
      <c r="J514" s="14"/>
      <c r="K514" s="154"/>
    </row>
    <row r="515" spans="1:35" x14ac:dyDescent="0.2">
      <c r="A515" s="144"/>
      <c r="B515" s="165"/>
      <c r="C515" s="149"/>
      <c r="D515" s="152"/>
      <c r="E515" s="133">
        <v>2020</v>
      </c>
      <c r="F515" s="81">
        <f t="shared" si="34"/>
        <v>220</v>
      </c>
      <c r="G515" s="14"/>
      <c r="H515" s="14"/>
      <c r="I515" s="14">
        <v>220</v>
      </c>
      <c r="J515" s="14"/>
      <c r="K515" s="154"/>
    </row>
    <row r="516" spans="1:35" ht="13.5" thickBot="1" x14ac:dyDescent="0.25">
      <c r="A516" s="144"/>
      <c r="B516" s="165"/>
      <c r="C516" s="149"/>
      <c r="D516" s="153"/>
      <c r="E516" s="24" t="s">
        <v>18</v>
      </c>
      <c r="F516" s="21">
        <f>SUM(F510:F515)</f>
        <v>980</v>
      </c>
      <c r="G516" s="13"/>
      <c r="H516" s="13"/>
      <c r="I516" s="13">
        <f>SUM(I510:I515)</f>
        <v>980</v>
      </c>
      <c r="J516" s="14"/>
      <c r="K516" s="155"/>
    </row>
    <row r="517" spans="1:35" x14ac:dyDescent="0.2">
      <c r="A517" s="143" t="s">
        <v>83</v>
      </c>
      <c r="B517" s="146" t="s">
        <v>116</v>
      </c>
      <c r="C517" s="148" t="s">
        <v>75</v>
      </c>
      <c r="D517" s="151" t="s">
        <v>257</v>
      </c>
      <c r="E517" s="133">
        <v>2015</v>
      </c>
      <c r="F517" s="87"/>
      <c r="G517" s="14"/>
      <c r="H517" s="14"/>
      <c r="I517" s="14"/>
      <c r="J517" s="14"/>
      <c r="K517" s="151" t="s">
        <v>216</v>
      </c>
    </row>
    <row r="518" spans="1:35" x14ac:dyDescent="0.2">
      <c r="A518" s="144"/>
      <c r="B518" s="147"/>
      <c r="C518" s="149"/>
      <c r="D518" s="152"/>
      <c r="E518" s="133">
        <v>2016</v>
      </c>
      <c r="F518" s="87"/>
      <c r="G518" s="14"/>
      <c r="H518" s="14"/>
      <c r="I518" s="14"/>
      <c r="J518" s="14"/>
      <c r="K518" s="154"/>
    </row>
    <row r="519" spans="1:35" x14ac:dyDescent="0.2">
      <c r="A519" s="144"/>
      <c r="B519" s="147"/>
      <c r="C519" s="149"/>
      <c r="D519" s="152"/>
      <c r="E519" s="133">
        <v>2017</v>
      </c>
      <c r="F519" s="87"/>
      <c r="G519" s="14"/>
      <c r="H519" s="14"/>
      <c r="I519" s="14"/>
      <c r="J519" s="14"/>
      <c r="K519" s="154"/>
    </row>
    <row r="520" spans="1:35" x14ac:dyDescent="0.2">
      <c r="A520" s="144"/>
      <c r="B520" s="147"/>
      <c r="C520" s="149"/>
      <c r="D520" s="152"/>
      <c r="E520" s="133">
        <v>2018</v>
      </c>
      <c r="F520" s="87"/>
      <c r="G520" s="14"/>
      <c r="H520" s="14"/>
      <c r="I520" s="14"/>
      <c r="J520" s="14"/>
      <c r="K520" s="154"/>
    </row>
    <row r="521" spans="1:35" x14ac:dyDescent="0.2">
      <c r="A521" s="144"/>
      <c r="B521" s="147"/>
      <c r="C521" s="149"/>
      <c r="D521" s="152"/>
      <c r="E521" s="133">
        <v>2019</v>
      </c>
      <c r="F521" s="87"/>
      <c r="G521" s="14"/>
      <c r="H521" s="14"/>
      <c r="I521" s="14"/>
      <c r="J521" s="14"/>
      <c r="K521" s="154"/>
    </row>
    <row r="522" spans="1:35" x14ac:dyDescent="0.2">
      <c r="A522" s="144"/>
      <c r="B522" s="147"/>
      <c r="C522" s="149"/>
      <c r="D522" s="152"/>
      <c r="E522" s="133">
        <v>2020</v>
      </c>
      <c r="F522" s="87"/>
      <c r="G522" s="14"/>
      <c r="H522" s="14"/>
      <c r="I522" s="14"/>
      <c r="J522" s="14"/>
      <c r="K522" s="154"/>
    </row>
    <row r="523" spans="1:35" x14ac:dyDescent="0.2">
      <c r="A523" s="145"/>
      <c r="B523" s="147"/>
      <c r="C523" s="150"/>
      <c r="D523" s="153"/>
      <c r="E523" s="33" t="s">
        <v>18</v>
      </c>
      <c r="F523" s="88"/>
      <c r="G523" s="28"/>
      <c r="H523" s="28"/>
      <c r="I523" s="28"/>
      <c r="J523" s="28"/>
      <c r="K523" s="154"/>
    </row>
    <row r="524" spans="1:35" ht="26.25" thickBot="1" x14ac:dyDescent="0.25">
      <c r="A524" s="156" t="s">
        <v>234</v>
      </c>
      <c r="B524" s="157"/>
      <c r="C524" s="157"/>
      <c r="D524" s="157"/>
      <c r="E524" s="6" t="s">
        <v>75</v>
      </c>
      <c r="F524" s="17">
        <f>F516+F523</f>
        <v>980</v>
      </c>
      <c r="G524" s="17"/>
      <c r="H524" s="17"/>
      <c r="I524" s="17">
        <f>I516+I523</f>
        <v>980</v>
      </c>
      <c r="J524" s="19"/>
      <c r="K524" s="118"/>
    </row>
    <row r="525" spans="1:35" ht="18" customHeight="1" thickBot="1" x14ac:dyDescent="0.25">
      <c r="A525" s="158" t="s">
        <v>249</v>
      </c>
      <c r="B525" s="159"/>
      <c r="C525" s="159"/>
      <c r="D525" s="159"/>
      <c r="E525" s="159"/>
      <c r="F525" s="159"/>
      <c r="G525" s="159"/>
      <c r="H525" s="159"/>
      <c r="I525" s="159"/>
      <c r="J525" s="159"/>
      <c r="K525" s="160"/>
      <c r="L525" s="72"/>
      <c r="M525" s="72"/>
      <c r="N525" s="72"/>
      <c r="O525" s="72"/>
      <c r="P525" s="72"/>
      <c r="Q525" s="72"/>
      <c r="R525" s="72"/>
      <c r="S525" s="72"/>
      <c r="T525" s="72"/>
      <c r="U525" s="72"/>
      <c r="V525" s="72"/>
      <c r="W525" s="72"/>
      <c r="X525" s="72"/>
      <c r="Y525" s="72"/>
      <c r="Z525" s="72"/>
      <c r="AA525" s="72"/>
      <c r="AB525" s="72"/>
      <c r="AC525" s="72"/>
      <c r="AD525" s="72"/>
      <c r="AE525" s="72"/>
      <c r="AF525" s="72"/>
      <c r="AG525" s="72"/>
      <c r="AH525" s="72"/>
      <c r="AI525" s="73"/>
    </row>
    <row r="526" spans="1:35" ht="15" thickBot="1" x14ac:dyDescent="0.25">
      <c r="A526" s="350" t="s">
        <v>94</v>
      </c>
      <c r="B526" s="400"/>
      <c r="C526" s="400"/>
      <c r="D526" s="400"/>
      <c r="E526" s="400"/>
      <c r="F526" s="400"/>
      <c r="G526" s="400"/>
      <c r="H526" s="400"/>
      <c r="I526" s="400"/>
      <c r="J526" s="400"/>
      <c r="K526" s="401"/>
      <c r="L526" s="89"/>
      <c r="M526" s="89"/>
      <c r="N526" s="89"/>
      <c r="O526" s="89"/>
      <c r="P526" s="89"/>
      <c r="Q526" s="89"/>
      <c r="R526" s="89"/>
      <c r="S526" s="89"/>
      <c r="T526" s="89"/>
      <c r="U526" s="89"/>
      <c r="V526" s="89"/>
      <c r="W526" s="89"/>
      <c r="X526" s="89"/>
      <c r="Y526" s="89"/>
      <c r="Z526" s="89"/>
      <c r="AA526" s="89"/>
      <c r="AB526" s="89"/>
      <c r="AC526" s="89"/>
      <c r="AD526" s="89"/>
      <c r="AE526" s="89"/>
      <c r="AF526" s="89"/>
      <c r="AG526" s="89"/>
      <c r="AH526" s="89"/>
      <c r="AI526" s="90"/>
    </row>
    <row r="527" spans="1:35" x14ac:dyDescent="0.2">
      <c r="A527" s="398" t="s">
        <v>95</v>
      </c>
      <c r="B527" s="185" t="s">
        <v>117</v>
      </c>
      <c r="C527" s="155" t="s">
        <v>75</v>
      </c>
      <c r="D527" s="154" t="s">
        <v>257</v>
      </c>
      <c r="E527" s="139">
        <v>2015</v>
      </c>
      <c r="F527" s="119">
        <f t="shared" ref="F527:F532" si="35">SUM(G527:I527)</f>
        <v>5</v>
      </c>
      <c r="G527" s="12"/>
      <c r="H527" s="12"/>
      <c r="I527" s="12">
        <v>5</v>
      </c>
      <c r="J527" s="12"/>
      <c r="K527" s="154" t="s">
        <v>217</v>
      </c>
    </row>
    <row r="528" spans="1:35" x14ac:dyDescent="0.2">
      <c r="A528" s="144"/>
      <c r="B528" s="165"/>
      <c r="C528" s="370"/>
      <c r="D528" s="152"/>
      <c r="E528" s="133">
        <v>2016</v>
      </c>
      <c r="F528" s="81">
        <f t="shared" si="35"/>
        <v>6</v>
      </c>
      <c r="G528" s="14"/>
      <c r="H528" s="14"/>
      <c r="I528" s="14">
        <v>6</v>
      </c>
      <c r="J528" s="14"/>
      <c r="K528" s="154"/>
    </row>
    <row r="529" spans="1:35" x14ac:dyDescent="0.2">
      <c r="A529" s="144"/>
      <c r="B529" s="165"/>
      <c r="C529" s="370"/>
      <c r="D529" s="152"/>
      <c r="E529" s="133">
        <v>2017</v>
      </c>
      <c r="F529" s="81">
        <f t="shared" si="35"/>
        <v>0</v>
      </c>
      <c r="G529" s="14"/>
      <c r="H529" s="14"/>
      <c r="I529" s="14"/>
      <c r="J529" s="14"/>
      <c r="K529" s="154"/>
    </row>
    <row r="530" spans="1:35" x14ac:dyDescent="0.2">
      <c r="A530" s="144"/>
      <c r="B530" s="165"/>
      <c r="C530" s="370"/>
      <c r="D530" s="152"/>
      <c r="E530" s="133">
        <v>2018</v>
      </c>
      <c r="F530" s="81">
        <f t="shared" si="35"/>
        <v>7</v>
      </c>
      <c r="G530" s="14"/>
      <c r="H530" s="14"/>
      <c r="I530" s="14">
        <v>7</v>
      </c>
      <c r="J530" s="14"/>
      <c r="K530" s="154"/>
    </row>
    <row r="531" spans="1:35" x14ac:dyDescent="0.2">
      <c r="A531" s="144"/>
      <c r="B531" s="165"/>
      <c r="C531" s="370"/>
      <c r="D531" s="152"/>
      <c r="E531" s="133">
        <v>2019</v>
      </c>
      <c r="F531" s="81">
        <f t="shared" si="35"/>
        <v>7.5</v>
      </c>
      <c r="G531" s="14"/>
      <c r="H531" s="14"/>
      <c r="I531" s="14">
        <v>7.5</v>
      </c>
      <c r="J531" s="14"/>
      <c r="K531" s="154"/>
    </row>
    <row r="532" spans="1:35" x14ac:dyDescent="0.2">
      <c r="A532" s="144"/>
      <c r="B532" s="165"/>
      <c r="C532" s="370"/>
      <c r="D532" s="152"/>
      <c r="E532" s="133">
        <v>2020</v>
      </c>
      <c r="F532" s="81">
        <f t="shared" si="35"/>
        <v>8</v>
      </c>
      <c r="G532" s="14"/>
      <c r="H532" s="14"/>
      <c r="I532" s="14">
        <v>8</v>
      </c>
      <c r="J532" s="14"/>
      <c r="K532" s="154"/>
    </row>
    <row r="533" spans="1:35" x14ac:dyDescent="0.2">
      <c r="A533" s="145"/>
      <c r="B533" s="166"/>
      <c r="C533" s="371"/>
      <c r="D533" s="153"/>
      <c r="E533" s="33" t="s">
        <v>18</v>
      </c>
      <c r="F533" s="91">
        <f>SUM(F527:F532)</f>
        <v>33.5</v>
      </c>
      <c r="G533" s="22"/>
      <c r="H533" s="22"/>
      <c r="I533" s="22">
        <f>SUM(I527:I532)</f>
        <v>33.5</v>
      </c>
      <c r="J533" s="28"/>
      <c r="K533" s="155"/>
    </row>
    <row r="534" spans="1:35" x14ac:dyDescent="0.2">
      <c r="A534" s="325" t="s">
        <v>97</v>
      </c>
      <c r="B534" s="164" t="s">
        <v>118</v>
      </c>
      <c r="C534" s="172" t="s">
        <v>75</v>
      </c>
      <c r="D534" s="151" t="s">
        <v>257</v>
      </c>
      <c r="E534" s="133">
        <v>2015</v>
      </c>
      <c r="F534" s="97">
        <f t="shared" ref="F534:F539" si="36">SUM(G534:I534)</f>
        <v>13.5</v>
      </c>
      <c r="G534" s="14"/>
      <c r="H534" s="14"/>
      <c r="I534" s="14">
        <v>13.5</v>
      </c>
      <c r="J534" s="14"/>
      <c r="K534" s="151" t="s">
        <v>217</v>
      </c>
    </row>
    <row r="535" spans="1:35" x14ac:dyDescent="0.2">
      <c r="A535" s="326"/>
      <c r="B535" s="165"/>
      <c r="C535" s="370"/>
      <c r="D535" s="152"/>
      <c r="E535" s="133">
        <v>2016</v>
      </c>
      <c r="F535" s="97">
        <f t="shared" si="36"/>
        <v>14</v>
      </c>
      <c r="G535" s="14"/>
      <c r="H535" s="14"/>
      <c r="I535" s="14">
        <v>14</v>
      </c>
      <c r="J535" s="14"/>
      <c r="K535" s="154"/>
    </row>
    <row r="536" spans="1:35" x14ac:dyDescent="0.2">
      <c r="A536" s="326"/>
      <c r="B536" s="165"/>
      <c r="C536" s="370"/>
      <c r="D536" s="152"/>
      <c r="E536" s="133">
        <v>2017</v>
      </c>
      <c r="F536" s="97">
        <f t="shared" si="36"/>
        <v>14.5</v>
      </c>
      <c r="G536" s="14"/>
      <c r="H536" s="14"/>
      <c r="I536" s="14">
        <v>14.5</v>
      </c>
      <c r="J536" s="14"/>
      <c r="K536" s="154"/>
    </row>
    <row r="537" spans="1:35" x14ac:dyDescent="0.2">
      <c r="A537" s="326"/>
      <c r="B537" s="165"/>
      <c r="C537" s="370"/>
      <c r="D537" s="152"/>
      <c r="E537" s="133">
        <v>2018</v>
      </c>
      <c r="F537" s="97">
        <f t="shared" si="36"/>
        <v>15</v>
      </c>
      <c r="G537" s="14"/>
      <c r="H537" s="14"/>
      <c r="I537" s="14">
        <v>15</v>
      </c>
      <c r="J537" s="14"/>
      <c r="K537" s="154"/>
    </row>
    <row r="538" spans="1:35" x14ac:dyDescent="0.2">
      <c r="A538" s="326"/>
      <c r="B538" s="165"/>
      <c r="C538" s="370"/>
      <c r="D538" s="152"/>
      <c r="E538" s="133">
        <v>2019</v>
      </c>
      <c r="F538" s="97">
        <f t="shared" si="36"/>
        <v>15.5</v>
      </c>
      <c r="G538" s="14"/>
      <c r="H538" s="14"/>
      <c r="I538" s="14">
        <v>15.5</v>
      </c>
      <c r="J538" s="14"/>
      <c r="K538" s="154"/>
    </row>
    <row r="539" spans="1:35" x14ac:dyDescent="0.2">
      <c r="A539" s="326"/>
      <c r="B539" s="165"/>
      <c r="C539" s="370"/>
      <c r="D539" s="152"/>
      <c r="E539" s="133">
        <v>2020</v>
      </c>
      <c r="F539" s="97">
        <f t="shared" si="36"/>
        <v>16</v>
      </c>
      <c r="G539" s="14"/>
      <c r="H539" s="14"/>
      <c r="I539" s="14">
        <v>16</v>
      </c>
      <c r="J539" s="14"/>
      <c r="K539" s="154"/>
    </row>
    <row r="540" spans="1:35" x14ac:dyDescent="0.2">
      <c r="A540" s="326"/>
      <c r="B540" s="165"/>
      <c r="C540" s="370"/>
      <c r="D540" s="153"/>
      <c r="E540" s="24" t="s">
        <v>18</v>
      </c>
      <c r="F540" s="20">
        <f>SUM(F534:F539)</f>
        <v>88.5</v>
      </c>
      <c r="G540" s="13"/>
      <c r="H540" s="13"/>
      <c r="I540" s="13">
        <f>SUM(I534:I539)</f>
        <v>88.5</v>
      </c>
      <c r="J540" s="14"/>
      <c r="K540" s="154"/>
    </row>
    <row r="541" spans="1:35" ht="26.25" thickBot="1" x14ac:dyDescent="0.25">
      <c r="A541" s="156" t="s">
        <v>236</v>
      </c>
      <c r="B541" s="157"/>
      <c r="C541" s="157"/>
      <c r="D541" s="157"/>
      <c r="E541" s="6" t="s">
        <v>75</v>
      </c>
      <c r="F541" s="17">
        <f>SUM(G541:I541)</f>
        <v>122</v>
      </c>
      <c r="G541" s="17"/>
      <c r="H541" s="17"/>
      <c r="I541" s="17">
        <f>I540+I533</f>
        <v>122</v>
      </c>
      <c r="J541" s="19"/>
      <c r="K541" s="142"/>
    </row>
    <row r="542" spans="1:35" ht="15" thickBot="1" x14ac:dyDescent="0.25">
      <c r="A542" s="219" t="s">
        <v>250</v>
      </c>
      <c r="B542" s="165"/>
      <c r="C542" s="165"/>
      <c r="D542" s="165"/>
      <c r="E542" s="165"/>
      <c r="F542" s="165"/>
      <c r="G542" s="165"/>
      <c r="H542" s="165"/>
      <c r="I542" s="165"/>
      <c r="J542" s="165"/>
      <c r="K542" s="165"/>
      <c r="L542" s="72"/>
      <c r="M542" s="72"/>
      <c r="N542" s="72"/>
      <c r="O542" s="72"/>
      <c r="P542" s="72"/>
      <c r="Q542" s="72"/>
      <c r="R542" s="72"/>
      <c r="S542" s="72"/>
      <c r="T542" s="72"/>
      <c r="U542" s="72"/>
      <c r="V542" s="72"/>
      <c r="W542" s="72"/>
      <c r="X542" s="72"/>
      <c r="Y542" s="72"/>
      <c r="Z542" s="72"/>
      <c r="AA542" s="72"/>
      <c r="AB542" s="72"/>
      <c r="AC542" s="72"/>
      <c r="AD542" s="72"/>
      <c r="AE542" s="72"/>
      <c r="AF542" s="72"/>
      <c r="AG542" s="72"/>
      <c r="AH542" s="72"/>
      <c r="AI542" s="73"/>
    </row>
    <row r="543" spans="1:35" ht="15" thickBot="1" x14ac:dyDescent="0.25">
      <c r="A543" s="219" t="s">
        <v>119</v>
      </c>
      <c r="B543" s="165"/>
      <c r="C543" s="165"/>
      <c r="D543" s="165"/>
      <c r="E543" s="165"/>
      <c r="F543" s="165"/>
      <c r="G543" s="165"/>
      <c r="H543" s="165"/>
      <c r="I543" s="165"/>
      <c r="J543" s="165"/>
      <c r="K543" s="165"/>
      <c r="L543" s="85"/>
      <c r="M543" s="85"/>
      <c r="N543" s="85"/>
      <c r="O543" s="85"/>
      <c r="P543" s="85"/>
      <c r="Q543" s="85"/>
      <c r="R543" s="85"/>
      <c r="S543" s="85"/>
      <c r="T543" s="85"/>
      <c r="U543" s="85"/>
      <c r="V543" s="85"/>
      <c r="W543" s="85"/>
      <c r="X543" s="85"/>
      <c r="Y543" s="85"/>
      <c r="Z543" s="85"/>
      <c r="AA543" s="85"/>
      <c r="AB543" s="85"/>
      <c r="AC543" s="85"/>
      <c r="AD543" s="85"/>
      <c r="AE543" s="85"/>
      <c r="AF543" s="85"/>
      <c r="AG543" s="85"/>
      <c r="AH543" s="85"/>
      <c r="AI543" s="86"/>
    </row>
    <row r="544" spans="1:35" ht="12.75" customHeight="1" x14ac:dyDescent="0.2">
      <c r="A544" s="334" t="s">
        <v>120</v>
      </c>
      <c r="B544" s="146" t="s">
        <v>264</v>
      </c>
      <c r="C544" s="172" t="s">
        <v>75</v>
      </c>
      <c r="D544" s="151" t="s">
        <v>257</v>
      </c>
      <c r="E544" s="133">
        <v>2015</v>
      </c>
      <c r="F544" s="81">
        <f t="shared" ref="F544:F549" si="37">SUM(G544:I544)</f>
        <v>230</v>
      </c>
      <c r="G544" s="14"/>
      <c r="H544" s="14"/>
      <c r="I544" s="14">
        <v>230</v>
      </c>
      <c r="J544" s="14"/>
      <c r="K544" s="151" t="s">
        <v>220</v>
      </c>
    </row>
    <row r="545" spans="1:11" x14ac:dyDescent="0.2">
      <c r="A545" s="335"/>
      <c r="B545" s="147"/>
      <c r="C545" s="370"/>
      <c r="D545" s="152"/>
      <c r="E545" s="133">
        <v>2016</v>
      </c>
      <c r="F545" s="81">
        <f t="shared" si="37"/>
        <v>245</v>
      </c>
      <c r="G545" s="14"/>
      <c r="H545" s="14"/>
      <c r="I545" s="14">
        <v>245</v>
      </c>
      <c r="J545" s="14"/>
      <c r="K545" s="154"/>
    </row>
    <row r="546" spans="1:11" x14ac:dyDescent="0.2">
      <c r="A546" s="335"/>
      <c r="B546" s="147"/>
      <c r="C546" s="370"/>
      <c r="D546" s="152"/>
      <c r="E546" s="133">
        <v>2017</v>
      </c>
      <c r="F546" s="81">
        <f t="shared" si="37"/>
        <v>0</v>
      </c>
      <c r="G546" s="14"/>
      <c r="H546" s="14"/>
      <c r="I546" s="14"/>
      <c r="J546" s="14"/>
      <c r="K546" s="154"/>
    </row>
    <row r="547" spans="1:11" x14ac:dyDescent="0.2">
      <c r="A547" s="335"/>
      <c r="B547" s="147"/>
      <c r="C547" s="370"/>
      <c r="D547" s="152"/>
      <c r="E547" s="133">
        <v>2018</v>
      </c>
      <c r="F547" s="81">
        <f t="shared" si="37"/>
        <v>270</v>
      </c>
      <c r="G547" s="14"/>
      <c r="H547" s="14"/>
      <c r="I547" s="14">
        <v>270</v>
      </c>
      <c r="J547" s="14"/>
      <c r="K547" s="154"/>
    </row>
    <row r="548" spans="1:11" x14ac:dyDescent="0.2">
      <c r="A548" s="335"/>
      <c r="B548" s="147"/>
      <c r="C548" s="370"/>
      <c r="D548" s="152"/>
      <c r="E548" s="133">
        <v>2019</v>
      </c>
      <c r="F548" s="81">
        <f t="shared" si="37"/>
        <v>290</v>
      </c>
      <c r="G548" s="14"/>
      <c r="H548" s="14"/>
      <c r="I548" s="14">
        <v>290</v>
      </c>
      <c r="J548" s="14"/>
      <c r="K548" s="154"/>
    </row>
    <row r="549" spans="1:11" x14ac:dyDescent="0.2">
      <c r="A549" s="335"/>
      <c r="B549" s="147"/>
      <c r="C549" s="370"/>
      <c r="D549" s="152"/>
      <c r="E549" s="133">
        <v>2020</v>
      </c>
      <c r="F549" s="81">
        <f t="shared" si="37"/>
        <v>300</v>
      </c>
      <c r="G549" s="14"/>
      <c r="H549" s="14"/>
      <c r="I549" s="14">
        <v>300</v>
      </c>
      <c r="J549" s="14"/>
      <c r="K549" s="154"/>
    </row>
    <row r="550" spans="1:11" ht="13.5" thickBot="1" x14ac:dyDescent="0.25">
      <c r="A550" s="335"/>
      <c r="B550" s="369"/>
      <c r="C550" s="370"/>
      <c r="D550" s="153"/>
      <c r="E550" s="24" t="s">
        <v>18</v>
      </c>
      <c r="F550" s="21">
        <f>SUM(F544:F549)</f>
        <v>1335</v>
      </c>
      <c r="G550" s="13"/>
      <c r="H550" s="13"/>
      <c r="I550" s="13">
        <f>SUM(I544:I549)</f>
        <v>1335</v>
      </c>
      <c r="J550" s="14"/>
      <c r="K550" s="154"/>
    </row>
    <row r="551" spans="1:11" x14ac:dyDescent="0.2">
      <c r="A551" s="143" t="s">
        <v>121</v>
      </c>
      <c r="B551" s="146" t="s">
        <v>266</v>
      </c>
      <c r="C551" s="172" t="s">
        <v>75</v>
      </c>
      <c r="D551" s="151" t="s">
        <v>257</v>
      </c>
      <c r="E551" s="133">
        <v>2015</v>
      </c>
      <c r="F551" s="81">
        <f t="shared" ref="F551:F556" si="38">SUM(G551:I551)</f>
        <v>80</v>
      </c>
      <c r="G551" s="14"/>
      <c r="H551" s="14"/>
      <c r="I551" s="14">
        <v>80</v>
      </c>
      <c r="J551" s="14"/>
      <c r="K551" s="154"/>
    </row>
    <row r="552" spans="1:11" x14ac:dyDescent="0.2">
      <c r="A552" s="144"/>
      <c r="B552" s="147"/>
      <c r="C552" s="370"/>
      <c r="D552" s="152"/>
      <c r="E552" s="133">
        <v>2016</v>
      </c>
      <c r="F552" s="81">
        <f t="shared" si="38"/>
        <v>85</v>
      </c>
      <c r="G552" s="14"/>
      <c r="H552" s="14"/>
      <c r="I552" s="14">
        <v>85</v>
      </c>
      <c r="J552" s="14"/>
      <c r="K552" s="154"/>
    </row>
    <row r="553" spans="1:11" x14ac:dyDescent="0.2">
      <c r="A553" s="144"/>
      <c r="B553" s="147"/>
      <c r="C553" s="370"/>
      <c r="D553" s="152"/>
      <c r="E553" s="133">
        <v>2017</v>
      </c>
      <c r="F553" s="81">
        <f t="shared" si="38"/>
        <v>0</v>
      </c>
      <c r="G553" s="14"/>
      <c r="H553" s="14"/>
      <c r="I553" s="14"/>
      <c r="J553" s="14"/>
      <c r="K553" s="154"/>
    </row>
    <row r="554" spans="1:11" x14ac:dyDescent="0.2">
      <c r="A554" s="144"/>
      <c r="B554" s="147"/>
      <c r="C554" s="370"/>
      <c r="D554" s="152"/>
      <c r="E554" s="133">
        <v>2018</v>
      </c>
      <c r="F554" s="81">
        <f t="shared" si="38"/>
        <v>95</v>
      </c>
      <c r="G554" s="14"/>
      <c r="H554" s="14"/>
      <c r="I554" s="14">
        <v>95</v>
      </c>
      <c r="J554" s="14"/>
      <c r="K554" s="154"/>
    </row>
    <row r="555" spans="1:11" x14ac:dyDescent="0.2">
      <c r="A555" s="144"/>
      <c r="B555" s="147"/>
      <c r="C555" s="370"/>
      <c r="D555" s="152"/>
      <c r="E555" s="133">
        <v>2019</v>
      </c>
      <c r="F555" s="81">
        <f t="shared" si="38"/>
        <v>100</v>
      </c>
      <c r="G555" s="14"/>
      <c r="H555" s="14"/>
      <c r="I555" s="14">
        <v>100</v>
      </c>
      <c r="J555" s="14"/>
      <c r="K555" s="154"/>
    </row>
    <row r="556" spans="1:11" x14ac:dyDescent="0.2">
      <c r="A556" s="144"/>
      <c r="B556" s="147"/>
      <c r="C556" s="370"/>
      <c r="D556" s="152"/>
      <c r="E556" s="133">
        <v>2020</v>
      </c>
      <c r="F556" s="81">
        <f t="shared" si="38"/>
        <v>110</v>
      </c>
      <c r="G556" s="14"/>
      <c r="H556" s="14"/>
      <c r="I556" s="14">
        <v>110</v>
      </c>
      <c r="J556" s="14"/>
      <c r="K556" s="154"/>
    </row>
    <row r="557" spans="1:11" ht="13.5" thickBot="1" x14ac:dyDescent="0.25">
      <c r="A557" s="144"/>
      <c r="B557" s="369"/>
      <c r="C557" s="370"/>
      <c r="D557" s="153"/>
      <c r="E557" s="24" t="s">
        <v>18</v>
      </c>
      <c r="F557" s="21">
        <f>SUM(F551:F556)</f>
        <v>470</v>
      </c>
      <c r="G557" s="13"/>
      <c r="H557" s="13"/>
      <c r="I557" s="13">
        <f>SUM(I551:I556)</f>
        <v>470</v>
      </c>
      <c r="J557" s="14"/>
      <c r="K557" s="155"/>
    </row>
    <row r="558" spans="1:11" x14ac:dyDescent="0.2">
      <c r="A558" s="143" t="s">
        <v>122</v>
      </c>
      <c r="B558" s="372" t="s">
        <v>265</v>
      </c>
      <c r="C558" s="172" t="s">
        <v>75</v>
      </c>
      <c r="D558" s="151" t="s">
        <v>257</v>
      </c>
      <c r="E558" s="133">
        <v>2015</v>
      </c>
      <c r="F558" s="81">
        <f t="shared" ref="F558:F563" si="39">SUM(G558:I558)</f>
        <v>47</v>
      </c>
      <c r="G558" s="14"/>
      <c r="H558" s="14"/>
      <c r="I558" s="14">
        <v>47</v>
      </c>
      <c r="J558" s="92"/>
      <c r="K558" s="151" t="s">
        <v>283</v>
      </c>
    </row>
    <row r="559" spans="1:11" x14ac:dyDescent="0.2">
      <c r="A559" s="144"/>
      <c r="B559" s="373"/>
      <c r="C559" s="370"/>
      <c r="D559" s="152"/>
      <c r="E559" s="133">
        <v>2016</v>
      </c>
      <c r="F559" s="81">
        <f t="shared" si="39"/>
        <v>50</v>
      </c>
      <c r="G559" s="14"/>
      <c r="H559" s="14"/>
      <c r="I559" s="14">
        <v>50</v>
      </c>
      <c r="J559" s="92"/>
      <c r="K559" s="154"/>
    </row>
    <row r="560" spans="1:11" x14ac:dyDescent="0.2">
      <c r="A560" s="144"/>
      <c r="B560" s="373"/>
      <c r="C560" s="370"/>
      <c r="D560" s="152"/>
      <c r="E560" s="133">
        <v>2017</v>
      </c>
      <c r="F560" s="81">
        <f t="shared" si="39"/>
        <v>0</v>
      </c>
      <c r="G560" s="14"/>
      <c r="H560" s="14"/>
      <c r="I560" s="14"/>
      <c r="J560" s="92"/>
      <c r="K560" s="154"/>
    </row>
    <row r="561" spans="1:11" x14ac:dyDescent="0.2">
      <c r="A561" s="144"/>
      <c r="B561" s="373"/>
      <c r="C561" s="370"/>
      <c r="D561" s="152"/>
      <c r="E561" s="133">
        <v>2018</v>
      </c>
      <c r="F561" s="81">
        <f t="shared" si="39"/>
        <v>56</v>
      </c>
      <c r="G561" s="14"/>
      <c r="H561" s="14"/>
      <c r="I561" s="14">
        <v>56</v>
      </c>
      <c r="J561" s="92"/>
      <c r="K561" s="154"/>
    </row>
    <row r="562" spans="1:11" x14ac:dyDescent="0.2">
      <c r="A562" s="144"/>
      <c r="B562" s="373"/>
      <c r="C562" s="370"/>
      <c r="D562" s="152"/>
      <c r="E562" s="133">
        <v>2019</v>
      </c>
      <c r="F562" s="81">
        <f t="shared" si="39"/>
        <v>59</v>
      </c>
      <c r="G562" s="14"/>
      <c r="H562" s="14"/>
      <c r="I562" s="14">
        <v>59</v>
      </c>
      <c r="J562" s="92"/>
      <c r="K562" s="154"/>
    </row>
    <row r="563" spans="1:11" x14ac:dyDescent="0.2">
      <c r="A563" s="144"/>
      <c r="B563" s="373"/>
      <c r="C563" s="370"/>
      <c r="D563" s="152"/>
      <c r="E563" s="133">
        <v>2020</v>
      </c>
      <c r="F563" s="81">
        <f t="shared" si="39"/>
        <v>62</v>
      </c>
      <c r="G563" s="14"/>
      <c r="H563" s="14"/>
      <c r="I563" s="14">
        <v>62</v>
      </c>
      <c r="J563" s="92"/>
      <c r="K563" s="154"/>
    </row>
    <row r="564" spans="1:11" ht="13.5" thickBot="1" x14ac:dyDescent="0.25">
      <c r="A564" s="144"/>
      <c r="B564" s="374"/>
      <c r="C564" s="370"/>
      <c r="D564" s="153"/>
      <c r="E564" s="24" t="s">
        <v>18</v>
      </c>
      <c r="F564" s="21">
        <f>SUM(F558:F563)</f>
        <v>274</v>
      </c>
      <c r="G564" s="14"/>
      <c r="H564" s="14"/>
      <c r="I564" s="13">
        <f>SUM(I558:I563)</f>
        <v>274</v>
      </c>
      <c r="J564" s="92"/>
      <c r="K564" s="154"/>
    </row>
    <row r="565" spans="1:11" x14ac:dyDescent="0.2">
      <c r="A565" s="143" t="s">
        <v>123</v>
      </c>
      <c r="B565" s="146" t="s">
        <v>124</v>
      </c>
      <c r="C565" s="172" t="s">
        <v>75</v>
      </c>
      <c r="D565" s="151" t="s">
        <v>257</v>
      </c>
      <c r="E565" s="133">
        <v>2015</v>
      </c>
      <c r="F565" s="81">
        <f t="shared" ref="F565:F570" si="40">SUM(G565:I565)</f>
        <v>40.6</v>
      </c>
      <c r="G565" s="14"/>
      <c r="H565" s="14"/>
      <c r="I565" s="14">
        <v>40.6</v>
      </c>
      <c r="J565" s="14"/>
      <c r="K565" s="154"/>
    </row>
    <row r="566" spans="1:11" x14ac:dyDescent="0.2">
      <c r="A566" s="144"/>
      <c r="B566" s="147"/>
      <c r="C566" s="370"/>
      <c r="D566" s="152"/>
      <c r="E566" s="133">
        <v>2016</v>
      </c>
      <c r="F566" s="81">
        <f t="shared" si="40"/>
        <v>50</v>
      </c>
      <c r="G566" s="14"/>
      <c r="H566" s="14"/>
      <c r="I566" s="14">
        <v>50</v>
      </c>
      <c r="J566" s="14"/>
      <c r="K566" s="154"/>
    </row>
    <row r="567" spans="1:11" x14ac:dyDescent="0.2">
      <c r="A567" s="144"/>
      <c r="B567" s="147"/>
      <c r="C567" s="370"/>
      <c r="D567" s="152"/>
      <c r="E567" s="133">
        <v>2017</v>
      </c>
      <c r="F567" s="81">
        <f t="shared" si="40"/>
        <v>0</v>
      </c>
      <c r="G567" s="14"/>
      <c r="H567" s="14"/>
      <c r="I567" s="14">
        <v>0</v>
      </c>
      <c r="J567" s="14"/>
      <c r="K567" s="154"/>
    </row>
    <row r="568" spans="1:11" x14ac:dyDescent="0.2">
      <c r="A568" s="144"/>
      <c r="B568" s="147"/>
      <c r="C568" s="370"/>
      <c r="D568" s="152"/>
      <c r="E568" s="133">
        <v>2018</v>
      </c>
      <c r="F568" s="81">
        <f t="shared" si="40"/>
        <v>54</v>
      </c>
      <c r="G568" s="14"/>
      <c r="H568" s="14"/>
      <c r="I568" s="14">
        <v>54</v>
      </c>
      <c r="J568" s="14"/>
      <c r="K568" s="154"/>
    </row>
    <row r="569" spans="1:11" x14ac:dyDescent="0.2">
      <c r="A569" s="144"/>
      <c r="B569" s="147"/>
      <c r="C569" s="370"/>
      <c r="D569" s="152"/>
      <c r="E569" s="133">
        <v>2019</v>
      </c>
      <c r="F569" s="81">
        <f t="shared" si="40"/>
        <v>56</v>
      </c>
      <c r="G569" s="14"/>
      <c r="H569" s="14"/>
      <c r="I569" s="14">
        <v>56</v>
      </c>
      <c r="J569" s="14"/>
      <c r="K569" s="154"/>
    </row>
    <row r="570" spans="1:11" x14ac:dyDescent="0.2">
      <c r="A570" s="144"/>
      <c r="B570" s="147"/>
      <c r="C570" s="370"/>
      <c r="D570" s="152"/>
      <c r="E570" s="133">
        <v>2020</v>
      </c>
      <c r="F570" s="81">
        <f t="shared" si="40"/>
        <v>58</v>
      </c>
      <c r="G570" s="14"/>
      <c r="H570" s="14"/>
      <c r="I570" s="14">
        <v>58</v>
      </c>
      <c r="J570" s="14"/>
      <c r="K570" s="154"/>
    </row>
    <row r="571" spans="1:11" ht="13.5" thickBot="1" x14ac:dyDescent="0.25">
      <c r="A571" s="144"/>
      <c r="B571" s="369"/>
      <c r="C571" s="370"/>
      <c r="D571" s="153"/>
      <c r="E571" s="24" t="s">
        <v>18</v>
      </c>
      <c r="F571" s="21">
        <f>SUM(F565:F570)</f>
        <v>258.60000000000002</v>
      </c>
      <c r="G571" s="13"/>
      <c r="H571" s="13"/>
      <c r="I571" s="13">
        <f>SUM(I565:I570)</f>
        <v>258.60000000000002</v>
      </c>
      <c r="J571" s="14"/>
      <c r="K571" s="154"/>
    </row>
    <row r="572" spans="1:11" x14ac:dyDescent="0.2">
      <c r="A572" s="143" t="s">
        <v>125</v>
      </c>
      <c r="B572" s="146" t="s">
        <v>126</v>
      </c>
      <c r="C572" s="172" t="s">
        <v>75</v>
      </c>
      <c r="D572" s="151" t="s">
        <v>257</v>
      </c>
      <c r="E572" s="133">
        <v>2015</v>
      </c>
      <c r="F572" s="81">
        <f t="shared" ref="F572:F577" si="41">SUM(G572:I572)</f>
        <v>5.0999999999999996</v>
      </c>
      <c r="G572" s="14"/>
      <c r="H572" s="14"/>
      <c r="I572" s="14">
        <v>5.0999999999999996</v>
      </c>
      <c r="J572" s="14"/>
      <c r="K572" s="154"/>
    </row>
    <row r="573" spans="1:11" x14ac:dyDescent="0.2">
      <c r="A573" s="144"/>
      <c r="B573" s="147"/>
      <c r="C573" s="370"/>
      <c r="D573" s="152"/>
      <c r="E573" s="133">
        <v>2016</v>
      </c>
      <c r="F573" s="81">
        <f t="shared" si="41"/>
        <v>5.3</v>
      </c>
      <c r="G573" s="14"/>
      <c r="H573" s="14"/>
      <c r="I573" s="14">
        <v>5.3</v>
      </c>
      <c r="J573" s="14"/>
      <c r="K573" s="154"/>
    </row>
    <row r="574" spans="1:11" x14ac:dyDescent="0.2">
      <c r="A574" s="144"/>
      <c r="B574" s="147"/>
      <c r="C574" s="370"/>
      <c r="D574" s="152"/>
      <c r="E574" s="133">
        <v>2017</v>
      </c>
      <c r="F574" s="81">
        <f t="shared" si="41"/>
        <v>0</v>
      </c>
      <c r="G574" s="14"/>
      <c r="H574" s="14"/>
      <c r="I574" s="14">
        <v>0</v>
      </c>
      <c r="J574" s="14"/>
      <c r="K574" s="154"/>
    </row>
    <row r="575" spans="1:11" x14ac:dyDescent="0.2">
      <c r="A575" s="144"/>
      <c r="B575" s="147"/>
      <c r="C575" s="370"/>
      <c r="D575" s="152"/>
      <c r="E575" s="133">
        <v>2018</v>
      </c>
      <c r="F575" s="81">
        <f t="shared" si="41"/>
        <v>5.7</v>
      </c>
      <c r="G575" s="14"/>
      <c r="H575" s="14"/>
      <c r="I575" s="14">
        <v>5.7</v>
      </c>
      <c r="J575" s="14"/>
      <c r="K575" s="154"/>
    </row>
    <row r="576" spans="1:11" x14ac:dyDescent="0.2">
      <c r="A576" s="144"/>
      <c r="B576" s="147"/>
      <c r="C576" s="370"/>
      <c r="D576" s="152"/>
      <c r="E576" s="133">
        <v>2019</v>
      </c>
      <c r="F576" s="81">
        <f t="shared" si="41"/>
        <v>5.9</v>
      </c>
      <c r="G576" s="14"/>
      <c r="H576" s="14"/>
      <c r="I576" s="14">
        <v>5.9</v>
      </c>
      <c r="J576" s="14"/>
      <c r="K576" s="154"/>
    </row>
    <row r="577" spans="1:11" x14ac:dyDescent="0.2">
      <c r="A577" s="144"/>
      <c r="B577" s="147"/>
      <c r="C577" s="370"/>
      <c r="D577" s="152"/>
      <c r="E577" s="133">
        <v>2020</v>
      </c>
      <c r="F577" s="81">
        <f t="shared" si="41"/>
        <v>6.1</v>
      </c>
      <c r="G577" s="14"/>
      <c r="H577" s="14"/>
      <c r="I577" s="14">
        <v>6.1</v>
      </c>
      <c r="J577" s="14"/>
      <c r="K577" s="154"/>
    </row>
    <row r="578" spans="1:11" ht="13.5" thickBot="1" x14ac:dyDescent="0.25">
      <c r="A578" s="144"/>
      <c r="B578" s="369"/>
      <c r="C578" s="371"/>
      <c r="D578" s="153"/>
      <c r="E578" s="24" t="s">
        <v>18</v>
      </c>
      <c r="F578" s="21">
        <f>SUM(F572:F577)</f>
        <v>28.1</v>
      </c>
      <c r="G578" s="13"/>
      <c r="H578" s="13"/>
      <c r="I578" s="13">
        <f>SUM(I572:I577)</f>
        <v>28.1</v>
      </c>
      <c r="J578" s="14"/>
      <c r="K578" s="154"/>
    </row>
    <row r="579" spans="1:11" x14ac:dyDescent="0.2">
      <c r="A579" s="143" t="s">
        <v>280</v>
      </c>
      <c r="B579" s="146" t="s">
        <v>128</v>
      </c>
      <c r="C579" s="172" t="s">
        <v>75</v>
      </c>
      <c r="D579" s="151" t="s">
        <v>257</v>
      </c>
      <c r="E579" s="133">
        <v>2015</v>
      </c>
      <c r="F579" s="81">
        <f t="shared" ref="F579:F584" si="42">SUM(G579:I579)</f>
        <v>4.5</v>
      </c>
      <c r="G579" s="14"/>
      <c r="H579" s="14"/>
      <c r="I579" s="14">
        <v>4.5</v>
      </c>
      <c r="J579" s="14"/>
      <c r="K579" s="154"/>
    </row>
    <row r="580" spans="1:11" x14ac:dyDescent="0.2">
      <c r="A580" s="144"/>
      <c r="B580" s="147"/>
      <c r="C580" s="370"/>
      <c r="D580" s="152"/>
      <c r="E580" s="133">
        <v>2016</v>
      </c>
      <c r="F580" s="81">
        <f t="shared" si="42"/>
        <v>4.5999999999999996</v>
      </c>
      <c r="G580" s="14"/>
      <c r="H580" s="14"/>
      <c r="I580" s="14">
        <v>4.5999999999999996</v>
      </c>
      <c r="J580" s="14"/>
      <c r="K580" s="154"/>
    </row>
    <row r="581" spans="1:11" x14ac:dyDescent="0.2">
      <c r="A581" s="144"/>
      <c r="B581" s="147"/>
      <c r="C581" s="370"/>
      <c r="D581" s="152"/>
      <c r="E581" s="133">
        <v>2017</v>
      </c>
      <c r="F581" s="81">
        <f t="shared" si="42"/>
        <v>0</v>
      </c>
      <c r="G581" s="14"/>
      <c r="H581" s="14"/>
      <c r="I581" s="14">
        <v>0</v>
      </c>
      <c r="J581" s="14"/>
      <c r="K581" s="154"/>
    </row>
    <row r="582" spans="1:11" x14ac:dyDescent="0.2">
      <c r="A582" s="144"/>
      <c r="B582" s="147"/>
      <c r="C582" s="370"/>
      <c r="D582" s="152"/>
      <c r="E582" s="133">
        <v>2018</v>
      </c>
      <c r="F582" s="81">
        <f t="shared" si="42"/>
        <v>4.8</v>
      </c>
      <c r="G582" s="14"/>
      <c r="H582" s="14"/>
      <c r="I582" s="14">
        <v>4.8</v>
      </c>
      <c r="J582" s="14"/>
      <c r="K582" s="154"/>
    </row>
    <row r="583" spans="1:11" x14ac:dyDescent="0.2">
      <c r="A583" s="144"/>
      <c r="B583" s="147"/>
      <c r="C583" s="370"/>
      <c r="D583" s="152"/>
      <c r="E583" s="133">
        <v>2019</v>
      </c>
      <c r="F583" s="81">
        <f t="shared" si="42"/>
        <v>4.9000000000000004</v>
      </c>
      <c r="G583" s="14"/>
      <c r="H583" s="14"/>
      <c r="I583" s="14">
        <v>4.9000000000000004</v>
      </c>
      <c r="J583" s="14"/>
      <c r="K583" s="154"/>
    </row>
    <row r="584" spans="1:11" x14ac:dyDescent="0.2">
      <c r="A584" s="144"/>
      <c r="B584" s="147"/>
      <c r="C584" s="370"/>
      <c r="D584" s="152"/>
      <c r="E584" s="133">
        <v>2020</v>
      </c>
      <c r="F584" s="81">
        <f t="shared" si="42"/>
        <v>5</v>
      </c>
      <c r="G584" s="14"/>
      <c r="H584" s="14"/>
      <c r="I584" s="14">
        <v>5</v>
      </c>
      <c r="J584" s="14"/>
      <c r="K584" s="154"/>
    </row>
    <row r="585" spans="1:11" ht="13.5" thickBot="1" x14ac:dyDescent="0.25">
      <c r="A585" s="144"/>
      <c r="B585" s="369"/>
      <c r="C585" s="371"/>
      <c r="D585" s="153"/>
      <c r="E585" s="24" t="s">
        <v>18</v>
      </c>
      <c r="F585" s="21">
        <f>SUM(F579:F584)</f>
        <v>23.799999999999997</v>
      </c>
      <c r="G585" s="13"/>
      <c r="H585" s="13"/>
      <c r="I585" s="13">
        <f>SUM(I579:I584)</f>
        <v>23.799999999999997</v>
      </c>
      <c r="J585" s="14"/>
      <c r="K585" s="155"/>
    </row>
    <row r="586" spans="1:11" x14ac:dyDescent="0.2">
      <c r="A586" s="143" t="s">
        <v>127</v>
      </c>
      <c r="B586" s="146" t="s">
        <v>0</v>
      </c>
      <c r="C586" s="172" t="s">
        <v>75</v>
      </c>
      <c r="D586" s="151" t="s">
        <v>257</v>
      </c>
      <c r="E586" s="133">
        <v>2015</v>
      </c>
      <c r="F586" s="82"/>
      <c r="G586" s="2"/>
      <c r="H586" s="2"/>
      <c r="I586" s="2"/>
      <c r="J586" s="2"/>
      <c r="K586" s="151" t="s">
        <v>221</v>
      </c>
    </row>
    <row r="587" spans="1:11" x14ac:dyDescent="0.2">
      <c r="A587" s="144"/>
      <c r="B587" s="147"/>
      <c r="C587" s="370"/>
      <c r="D587" s="152"/>
      <c r="E587" s="133">
        <v>2016</v>
      </c>
      <c r="F587" s="82"/>
      <c r="G587" s="2"/>
      <c r="H587" s="2"/>
      <c r="I587" s="2"/>
      <c r="J587" s="2"/>
      <c r="K587" s="154"/>
    </row>
    <row r="588" spans="1:11" x14ac:dyDescent="0.2">
      <c r="A588" s="144"/>
      <c r="B588" s="147"/>
      <c r="C588" s="370"/>
      <c r="D588" s="152"/>
      <c r="E588" s="133">
        <v>2017</v>
      </c>
      <c r="F588" s="82"/>
      <c r="G588" s="2"/>
      <c r="H588" s="2"/>
      <c r="I588" s="2"/>
      <c r="J588" s="2"/>
      <c r="K588" s="154"/>
    </row>
    <row r="589" spans="1:11" x14ac:dyDescent="0.2">
      <c r="A589" s="144"/>
      <c r="B589" s="147"/>
      <c r="C589" s="370"/>
      <c r="D589" s="152"/>
      <c r="E589" s="133">
        <v>2018</v>
      </c>
      <c r="F589" s="82"/>
      <c r="G589" s="2"/>
      <c r="H589" s="2"/>
      <c r="I589" s="2"/>
      <c r="J589" s="2"/>
      <c r="K589" s="154"/>
    </row>
    <row r="590" spans="1:11" x14ac:dyDescent="0.2">
      <c r="A590" s="144"/>
      <c r="B590" s="147"/>
      <c r="C590" s="370"/>
      <c r="D590" s="152"/>
      <c r="E590" s="133">
        <v>2019</v>
      </c>
      <c r="F590" s="82"/>
      <c r="G590" s="2"/>
      <c r="H590" s="2"/>
      <c r="I590" s="2"/>
      <c r="J590" s="2"/>
      <c r="K590" s="154"/>
    </row>
    <row r="591" spans="1:11" x14ac:dyDescent="0.2">
      <c r="A591" s="144"/>
      <c r="B591" s="147"/>
      <c r="C591" s="370"/>
      <c r="D591" s="152"/>
      <c r="E591" s="133">
        <v>2020</v>
      </c>
      <c r="F591" s="82"/>
      <c r="G591" s="2"/>
      <c r="H591" s="2"/>
      <c r="I591" s="2"/>
      <c r="J591" s="2"/>
      <c r="K591" s="154"/>
    </row>
    <row r="592" spans="1:11" x14ac:dyDescent="0.2">
      <c r="A592" s="145"/>
      <c r="B592" s="147"/>
      <c r="C592" s="371"/>
      <c r="D592" s="153"/>
      <c r="E592" s="24" t="s">
        <v>18</v>
      </c>
      <c r="F592" s="82"/>
      <c r="G592" s="2"/>
      <c r="H592" s="2"/>
      <c r="I592" s="2"/>
      <c r="J592" s="2"/>
      <c r="K592" s="155"/>
    </row>
    <row r="593" spans="1:35" ht="25.5" x14ac:dyDescent="0.2">
      <c r="A593" s="169" t="s">
        <v>238</v>
      </c>
      <c r="B593" s="177"/>
      <c r="C593" s="177"/>
      <c r="D593" s="177"/>
      <c r="E593" s="63" t="s">
        <v>75</v>
      </c>
      <c r="F593" s="20">
        <f>SUM(G593:I593)</f>
        <v>2389.5</v>
      </c>
      <c r="G593" s="20"/>
      <c r="H593" s="20"/>
      <c r="I593" s="20">
        <f>I585+I578+I571+I564+I557+I550</f>
        <v>2389.5</v>
      </c>
      <c r="J593" s="18"/>
      <c r="K593" s="93"/>
    </row>
    <row r="594" spans="1:35" ht="47.25" x14ac:dyDescent="0.25">
      <c r="A594" s="252" t="s">
        <v>251</v>
      </c>
      <c r="B594" s="364"/>
      <c r="C594" s="364"/>
      <c r="D594" s="365"/>
      <c r="E594" s="106" t="s">
        <v>75</v>
      </c>
      <c r="F594" s="106" t="s">
        <v>18</v>
      </c>
      <c r="G594" s="107" t="s">
        <v>10</v>
      </c>
      <c r="H594" s="99" t="s">
        <v>11</v>
      </c>
      <c r="I594" s="99" t="s">
        <v>12</v>
      </c>
      <c r="J594" s="99" t="s">
        <v>13</v>
      </c>
      <c r="K594" s="59"/>
    </row>
    <row r="595" spans="1:35" ht="16.5" thickBot="1" x14ac:dyDescent="0.3">
      <c r="A595" s="132"/>
      <c r="B595" s="137"/>
      <c r="C595" s="137"/>
      <c r="D595" s="137"/>
      <c r="E595" s="108"/>
      <c r="F595" s="23">
        <f>SUM(G595:J595)</f>
        <v>85573.7</v>
      </c>
      <c r="G595" s="23"/>
      <c r="H595" s="11">
        <f>H476</f>
        <v>79313.8</v>
      </c>
      <c r="I595" s="11">
        <f>I593+I541+I524+I507+I476</f>
        <v>6259.9</v>
      </c>
      <c r="J595" s="94"/>
      <c r="K595" s="59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</row>
    <row r="596" spans="1:35" ht="18" x14ac:dyDescent="0.2">
      <c r="A596" s="289" t="s">
        <v>269</v>
      </c>
      <c r="B596" s="290"/>
      <c r="C596" s="290"/>
      <c r="D596" s="290"/>
      <c r="E596" s="290"/>
      <c r="F596" s="290"/>
      <c r="G596" s="290"/>
      <c r="H596" s="290"/>
      <c r="I596" s="290"/>
      <c r="J596" s="290"/>
      <c r="K596" s="290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7"/>
    </row>
    <row r="597" spans="1:35" ht="16.5" thickBot="1" x14ac:dyDescent="0.25">
      <c r="A597" s="391" t="s">
        <v>252</v>
      </c>
      <c r="B597" s="392"/>
      <c r="C597" s="392"/>
      <c r="D597" s="392"/>
      <c r="E597" s="328"/>
      <c r="F597" s="328"/>
      <c r="G597" s="328"/>
      <c r="H597" s="328"/>
      <c r="I597" s="328"/>
      <c r="J597" s="328"/>
      <c r="K597" s="328"/>
      <c r="L597" s="66"/>
      <c r="M597" s="66"/>
      <c r="N597" s="66"/>
      <c r="O597" s="66"/>
      <c r="P597" s="66"/>
      <c r="Q597" s="66"/>
      <c r="R597" s="66"/>
      <c r="S597" s="66"/>
      <c r="T597" s="66"/>
      <c r="U597" s="66"/>
      <c r="V597" s="66"/>
      <c r="W597" s="95"/>
      <c r="X597" s="95"/>
      <c r="Y597" s="95"/>
      <c r="Z597" s="95"/>
      <c r="AA597" s="95"/>
      <c r="AB597" s="95"/>
      <c r="AC597" s="95"/>
      <c r="AD597" s="95"/>
      <c r="AE597" s="95"/>
      <c r="AF597" s="95"/>
      <c r="AG597" s="95"/>
      <c r="AH597" s="95"/>
      <c r="AI597" s="96"/>
    </row>
    <row r="598" spans="1:35" x14ac:dyDescent="0.2">
      <c r="A598" s="325" t="s">
        <v>129</v>
      </c>
      <c r="B598" s="164" t="s">
        <v>130</v>
      </c>
      <c r="C598" s="148" t="s">
        <v>75</v>
      </c>
      <c r="D598" s="151" t="s">
        <v>257</v>
      </c>
      <c r="E598" s="133">
        <v>2015</v>
      </c>
      <c r="F598" s="97">
        <f t="shared" ref="F598:F603" si="43">SUM(G598:J598)</f>
        <v>4484.7</v>
      </c>
      <c r="G598" s="14"/>
      <c r="H598" s="14"/>
      <c r="I598" s="14">
        <v>4092.2</v>
      </c>
      <c r="J598" s="14">
        <v>392.5</v>
      </c>
      <c r="K598" s="151" t="s">
        <v>218</v>
      </c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</row>
    <row r="599" spans="1:35" x14ac:dyDescent="0.2">
      <c r="A599" s="326"/>
      <c r="B599" s="165"/>
      <c r="C599" s="149"/>
      <c r="D599" s="152"/>
      <c r="E599" s="133">
        <v>2016</v>
      </c>
      <c r="F599" s="97">
        <f t="shared" si="43"/>
        <v>4690.3999999999996</v>
      </c>
      <c r="G599" s="14"/>
      <c r="H599" s="14"/>
      <c r="I599" s="14">
        <f>3801.5+222.3</f>
        <v>4023.8</v>
      </c>
      <c r="J599" s="14">
        <f>58.3+608.3</f>
        <v>666.59999999999991</v>
      </c>
      <c r="K599" s="154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</row>
    <row r="600" spans="1:35" x14ac:dyDescent="0.2">
      <c r="A600" s="326"/>
      <c r="B600" s="165"/>
      <c r="C600" s="149"/>
      <c r="D600" s="152"/>
      <c r="E600" s="133">
        <v>2017</v>
      </c>
      <c r="F600" s="97">
        <f t="shared" si="43"/>
        <v>4054</v>
      </c>
      <c r="G600" s="14"/>
      <c r="H600" s="14"/>
      <c r="I600" s="14">
        <v>3992.8</v>
      </c>
      <c r="J600" s="14">
        <v>61.2</v>
      </c>
      <c r="K600" s="154"/>
    </row>
    <row r="601" spans="1:35" x14ac:dyDescent="0.2">
      <c r="A601" s="326"/>
      <c r="B601" s="165"/>
      <c r="C601" s="149"/>
      <c r="D601" s="152"/>
      <c r="E601" s="133">
        <v>2018</v>
      </c>
      <c r="F601" s="97">
        <f t="shared" si="43"/>
        <v>327</v>
      </c>
      <c r="G601" s="14"/>
      <c r="H601" s="14"/>
      <c r="I601" s="14">
        <v>262.7</v>
      </c>
      <c r="J601" s="14">
        <v>64.3</v>
      </c>
      <c r="K601" s="154"/>
    </row>
    <row r="602" spans="1:35" x14ac:dyDescent="0.2">
      <c r="A602" s="326"/>
      <c r="B602" s="165"/>
      <c r="C602" s="149"/>
      <c r="D602" s="152"/>
      <c r="E602" s="133">
        <v>2019</v>
      </c>
      <c r="F602" s="97">
        <f t="shared" si="43"/>
        <v>343.3</v>
      </c>
      <c r="G602" s="14"/>
      <c r="H602" s="14"/>
      <c r="I602" s="14">
        <v>275.8</v>
      </c>
      <c r="J602" s="14">
        <v>67.5</v>
      </c>
      <c r="K602" s="154"/>
    </row>
    <row r="603" spans="1:35" x14ac:dyDescent="0.2">
      <c r="A603" s="326"/>
      <c r="B603" s="165"/>
      <c r="C603" s="149"/>
      <c r="D603" s="152"/>
      <c r="E603" s="133">
        <v>2020</v>
      </c>
      <c r="F603" s="97">
        <f t="shared" si="43"/>
        <v>360.5</v>
      </c>
      <c r="G603" s="14"/>
      <c r="H603" s="14"/>
      <c r="I603" s="14">
        <v>289.60000000000002</v>
      </c>
      <c r="J603" s="14">
        <v>70.900000000000006</v>
      </c>
      <c r="K603" s="154"/>
    </row>
    <row r="604" spans="1:35" ht="13.5" thickBot="1" x14ac:dyDescent="0.25">
      <c r="A604" s="326"/>
      <c r="B604" s="165"/>
      <c r="C604" s="149"/>
      <c r="D604" s="153"/>
      <c r="E604" s="24" t="s">
        <v>18</v>
      </c>
      <c r="F604" s="20">
        <f>SUM(F598:F603)</f>
        <v>14259.899999999998</v>
      </c>
      <c r="G604" s="20">
        <f>SUM(G598:G603)</f>
        <v>0</v>
      </c>
      <c r="H604" s="20">
        <f>SUM(H598:H603)</f>
        <v>0</v>
      </c>
      <c r="I604" s="20">
        <f>SUM(I598:I603)</f>
        <v>12936.9</v>
      </c>
      <c r="J604" s="20">
        <f>SUM(J598:J603)</f>
        <v>1323</v>
      </c>
      <c r="K604" s="154"/>
    </row>
    <row r="605" spans="1:35" x14ac:dyDescent="0.2">
      <c r="A605" s="393" t="s">
        <v>131</v>
      </c>
      <c r="B605" s="396" t="s">
        <v>132</v>
      </c>
      <c r="C605" s="148" t="s">
        <v>75</v>
      </c>
      <c r="D605" s="151" t="s">
        <v>257</v>
      </c>
      <c r="E605" s="133">
        <v>2015</v>
      </c>
      <c r="F605" s="97">
        <f t="shared" ref="F605:F610" si="44">SUM(G605:J605)</f>
        <v>448.20000000000005</v>
      </c>
      <c r="G605" s="14"/>
      <c r="H605" s="14"/>
      <c r="I605" s="14">
        <v>251.4</v>
      </c>
      <c r="J605" s="14">
        <v>196.8</v>
      </c>
      <c r="K605" s="154"/>
    </row>
    <row r="606" spans="1:35" x14ac:dyDescent="0.2">
      <c r="A606" s="394"/>
      <c r="B606" s="397"/>
      <c r="C606" s="149"/>
      <c r="D606" s="152"/>
      <c r="E606" s="133">
        <v>2016</v>
      </c>
      <c r="F606" s="97">
        <f t="shared" si="44"/>
        <v>478.19999999999993</v>
      </c>
      <c r="G606" s="14"/>
      <c r="H606" s="14"/>
      <c r="I606" s="14">
        <f>414.2-142.9</f>
        <v>271.29999999999995</v>
      </c>
      <c r="J606" s="14">
        <f>206.6+0.3</f>
        <v>206.9</v>
      </c>
      <c r="K606" s="154"/>
    </row>
    <row r="607" spans="1:35" x14ac:dyDescent="0.2">
      <c r="A607" s="394"/>
      <c r="B607" s="397"/>
      <c r="C607" s="149"/>
      <c r="D607" s="152"/>
      <c r="E607" s="133">
        <v>2017</v>
      </c>
      <c r="F607" s="97">
        <f t="shared" si="44"/>
        <v>656.9</v>
      </c>
      <c r="G607" s="14"/>
      <c r="H607" s="14"/>
      <c r="I607" s="14">
        <v>440</v>
      </c>
      <c r="J607" s="14">
        <v>216.9</v>
      </c>
      <c r="K607" s="154"/>
    </row>
    <row r="608" spans="1:35" x14ac:dyDescent="0.2">
      <c r="A608" s="394"/>
      <c r="B608" s="397"/>
      <c r="C608" s="149"/>
      <c r="D608" s="152"/>
      <c r="E608" s="133">
        <v>2018</v>
      </c>
      <c r="F608" s="97">
        <f t="shared" si="44"/>
        <v>706.2</v>
      </c>
      <c r="G608" s="14"/>
      <c r="H608" s="14"/>
      <c r="I608" s="14">
        <v>478.5</v>
      </c>
      <c r="J608" s="14">
        <v>227.7</v>
      </c>
      <c r="K608" s="154"/>
    </row>
    <row r="609" spans="1:11" x14ac:dyDescent="0.2">
      <c r="A609" s="394"/>
      <c r="B609" s="397"/>
      <c r="C609" s="149"/>
      <c r="D609" s="152"/>
      <c r="E609" s="133">
        <v>2019</v>
      </c>
      <c r="F609" s="97">
        <f t="shared" si="44"/>
        <v>741.5</v>
      </c>
      <c r="G609" s="14"/>
      <c r="H609" s="14"/>
      <c r="I609" s="14">
        <v>502.4</v>
      </c>
      <c r="J609" s="14">
        <v>239.1</v>
      </c>
      <c r="K609" s="154"/>
    </row>
    <row r="610" spans="1:11" x14ac:dyDescent="0.2">
      <c r="A610" s="394"/>
      <c r="B610" s="397"/>
      <c r="C610" s="149"/>
      <c r="D610" s="152"/>
      <c r="E610" s="133">
        <v>2020</v>
      </c>
      <c r="F610" s="97">
        <f t="shared" si="44"/>
        <v>778.5</v>
      </c>
      <c r="G610" s="14"/>
      <c r="H610" s="14"/>
      <c r="I610" s="14">
        <v>527.5</v>
      </c>
      <c r="J610" s="14">
        <v>251</v>
      </c>
      <c r="K610" s="154"/>
    </row>
    <row r="611" spans="1:11" ht="13.5" thickBot="1" x14ac:dyDescent="0.25">
      <c r="A611" s="395"/>
      <c r="B611" s="397"/>
      <c r="C611" s="150"/>
      <c r="D611" s="153"/>
      <c r="E611" s="24" t="s">
        <v>18</v>
      </c>
      <c r="F611" s="20">
        <f>SUM(F605:F610)</f>
        <v>3809.5</v>
      </c>
      <c r="G611" s="20">
        <f>SUM(G605:G610)</f>
        <v>0</v>
      </c>
      <c r="H611" s="20">
        <f>SUM(H605:H610)</f>
        <v>0</v>
      </c>
      <c r="I611" s="20">
        <f>SUM(I605:I610)</f>
        <v>2471.1</v>
      </c>
      <c r="J611" s="20">
        <f>SUM(J605:J610)</f>
        <v>1338.3999999999999</v>
      </c>
      <c r="K611" s="154"/>
    </row>
    <row r="612" spans="1:11" x14ac:dyDescent="0.2">
      <c r="A612" s="388" t="s">
        <v>133</v>
      </c>
      <c r="B612" s="194" t="s">
        <v>134</v>
      </c>
      <c r="C612" s="148" t="s">
        <v>75</v>
      </c>
      <c r="D612" s="151" t="s">
        <v>257</v>
      </c>
      <c r="E612" s="133">
        <v>2015</v>
      </c>
      <c r="F612" s="97">
        <f t="shared" ref="F612:F617" si="45">SUM(G612:J612)</f>
        <v>402.69999999999993</v>
      </c>
      <c r="G612" s="14"/>
      <c r="H612" s="14"/>
      <c r="I612" s="14">
        <f>344.4+6.9</f>
        <v>351.29999999999995</v>
      </c>
      <c r="J612" s="14">
        <v>51.4</v>
      </c>
      <c r="K612" s="154"/>
    </row>
    <row r="613" spans="1:11" x14ac:dyDescent="0.2">
      <c r="A613" s="389"/>
      <c r="B613" s="194"/>
      <c r="C613" s="149"/>
      <c r="D613" s="152"/>
      <c r="E613" s="133">
        <v>2016</v>
      </c>
      <c r="F613" s="97">
        <f t="shared" si="45"/>
        <v>681.2</v>
      </c>
      <c r="G613" s="14"/>
      <c r="H613" s="14"/>
      <c r="I613" s="14">
        <f>363.3+262.6</f>
        <v>625.90000000000009</v>
      </c>
      <c r="J613" s="14">
        <f>54+1.3</f>
        <v>55.3</v>
      </c>
      <c r="K613" s="154"/>
    </row>
    <row r="614" spans="1:11" x14ac:dyDescent="0.2">
      <c r="A614" s="389"/>
      <c r="B614" s="194"/>
      <c r="C614" s="149"/>
      <c r="D614" s="152"/>
      <c r="E614" s="133">
        <v>2017</v>
      </c>
      <c r="F614" s="97">
        <f t="shared" si="45"/>
        <v>440</v>
      </c>
      <c r="G614" s="14"/>
      <c r="H614" s="14"/>
      <c r="I614" s="14">
        <v>383.3</v>
      </c>
      <c r="J614" s="14">
        <v>56.7</v>
      </c>
      <c r="K614" s="154"/>
    </row>
    <row r="615" spans="1:11" x14ac:dyDescent="0.2">
      <c r="A615" s="389"/>
      <c r="B615" s="194"/>
      <c r="C615" s="149"/>
      <c r="D615" s="152"/>
      <c r="E615" s="133">
        <v>2018</v>
      </c>
      <c r="F615" s="97">
        <f t="shared" si="45"/>
        <v>453</v>
      </c>
      <c r="G615" s="14"/>
      <c r="H615" s="14"/>
      <c r="I615" s="14">
        <v>393.5</v>
      </c>
      <c r="J615" s="14">
        <v>59.5</v>
      </c>
      <c r="K615" s="154"/>
    </row>
    <row r="616" spans="1:11" x14ac:dyDescent="0.2">
      <c r="A616" s="389"/>
      <c r="B616" s="194"/>
      <c r="C616" s="149"/>
      <c r="D616" s="152"/>
      <c r="E616" s="133">
        <v>2019</v>
      </c>
      <c r="F616" s="97">
        <f t="shared" si="45"/>
        <v>475.7</v>
      </c>
      <c r="G616" s="14"/>
      <c r="H616" s="14"/>
      <c r="I616" s="14">
        <v>413.2</v>
      </c>
      <c r="J616" s="14">
        <v>62.5</v>
      </c>
      <c r="K616" s="154"/>
    </row>
    <row r="617" spans="1:11" x14ac:dyDescent="0.2">
      <c r="A617" s="389"/>
      <c r="B617" s="194"/>
      <c r="C617" s="149"/>
      <c r="D617" s="152"/>
      <c r="E617" s="133">
        <v>2020</v>
      </c>
      <c r="F617" s="97">
        <f t="shared" si="45"/>
        <v>492.7</v>
      </c>
      <c r="G617" s="14"/>
      <c r="H617" s="14"/>
      <c r="I617" s="14">
        <f>433.9-6.9</f>
        <v>427</v>
      </c>
      <c r="J617" s="14">
        <v>65.7</v>
      </c>
      <c r="K617" s="154"/>
    </row>
    <row r="618" spans="1:11" ht="13.5" thickBot="1" x14ac:dyDescent="0.25">
      <c r="A618" s="390"/>
      <c r="B618" s="194"/>
      <c r="C618" s="149"/>
      <c r="D618" s="153"/>
      <c r="E618" s="24" t="s">
        <v>18</v>
      </c>
      <c r="F618" s="20">
        <f>SUM(F612:F617)</f>
        <v>2945.2999999999997</v>
      </c>
      <c r="G618" s="20">
        <f>SUM(G612:G617)</f>
        <v>0</v>
      </c>
      <c r="H618" s="20">
        <f>SUM(H612:H617)</f>
        <v>0</v>
      </c>
      <c r="I618" s="20">
        <f>SUM(I612:I617)</f>
        <v>2594.1999999999998</v>
      </c>
      <c r="J618" s="20">
        <f>SUM(J612:J617)</f>
        <v>351.09999999999997</v>
      </c>
      <c r="K618" s="154"/>
    </row>
    <row r="619" spans="1:11" x14ac:dyDescent="0.2">
      <c r="A619" s="388" t="s">
        <v>135</v>
      </c>
      <c r="B619" s="146" t="s">
        <v>136</v>
      </c>
      <c r="C619" s="148" t="s">
        <v>75</v>
      </c>
      <c r="D619" s="151" t="s">
        <v>257</v>
      </c>
      <c r="E619" s="133">
        <v>2015</v>
      </c>
      <c r="F619" s="97">
        <f t="shared" ref="F619:F624" si="46">SUM(G619:J619)</f>
        <v>2265.3000000000002</v>
      </c>
      <c r="G619" s="14"/>
      <c r="H619" s="14"/>
      <c r="I619" s="14">
        <v>2265.3000000000002</v>
      </c>
      <c r="J619" s="14"/>
      <c r="K619" s="154"/>
    </row>
    <row r="620" spans="1:11" x14ac:dyDescent="0.2">
      <c r="A620" s="389"/>
      <c r="B620" s="147"/>
      <c r="C620" s="149"/>
      <c r="D620" s="152"/>
      <c r="E620" s="133">
        <v>2016</v>
      </c>
      <c r="F620" s="97">
        <f t="shared" si="46"/>
        <v>2244.6999999999998</v>
      </c>
      <c r="G620" s="14"/>
      <c r="H620" s="14"/>
      <c r="I620" s="14">
        <f>2295.7-51</f>
        <v>2244.6999999999998</v>
      </c>
      <c r="J620" s="14"/>
      <c r="K620" s="154"/>
    </row>
    <row r="621" spans="1:11" x14ac:dyDescent="0.2">
      <c r="A621" s="389"/>
      <c r="B621" s="147"/>
      <c r="C621" s="149"/>
      <c r="D621" s="152"/>
      <c r="E621" s="133">
        <v>2017</v>
      </c>
      <c r="F621" s="97">
        <f t="shared" si="46"/>
        <v>2576.6</v>
      </c>
      <c r="G621" s="14"/>
      <c r="H621" s="14"/>
      <c r="I621" s="14">
        <v>2576.6</v>
      </c>
      <c r="J621" s="14"/>
      <c r="K621" s="154"/>
    </row>
    <row r="622" spans="1:11" x14ac:dyDescent="0.2">
      <c r="A622" s="389"/>
      <c r="B622" s="147"/>
      <c r="C622" s="149"/>
      <c r="D622" s="152"/>
      <c r="E622" s="133">
        <v>2018</v>
      </c>
      <c r="F622" s="97">
        <f t="shared" si="46"/>
        <v>2703.3</v>
      </c>
      <c r="G622" s="14"/>
      <c r="H622" s="14"/>
      <c r="I622" s="14">
        <v>2703.3</v>
      </c>
      <c r="J622" s="14"/>
      <c r="K622" s="154"/>
    </row>
    <row r="623" spans="1:11" x14ac:dyDescent="0.2">
      <c r="A623" s="389"/>
      <c r="B623" s="147"/>
      <c r="C623" s="149"/>
      <c r="D623" s="152"/>
      <c r="E623" s="133">
        <v>2019</v>
      </c>
      <c r="F623" s="97">
        <f t="shared" si="46"/>
        <v>2841.6</v>
      </c>
      <c r="G623" s="14"/>
      <c r="H623" s="14"/>
      <c r="I623" s="14">
        <v>2841.6</v>
      </c>
      <c r="J623" s="14"/>
      <c r="K623" s="154"/>
    </row>
    <row r="624" spans="1:11" x14ac:dyDescent="0.2">
      <c r="A624" s="389"/>
      <c r="B624" s="147"/>
      <c r="C624" s="149"/>
      <c r="D624" s="152"/>
      <c r="E624" s="133">
        <v>2020</v>
      </c>
      <c r="F624" s="97">
        <f t="shared" si="46"/>
        <v>2990.4</v>
      </c>
      <c r="G624" s="14"/>
      <c r="H624" s="14"/>
      <c r="I624" s="14">
        <v>2990.4</v>
      </c>
      <c r="J624" s="14"/>
      <c r="K624" s="154"/>
    </row>
    <row r="625" spans="1:11" ht="13.5" thickBot="1" x14ac:dyDescent="0.25">
      <c r="A625" s="390"/>
      <c r="B625" s="369"/>
      <c r="C625" s="149"/>
      <c r="D625" s="153"/>
      <c r="E625" s="24" t="s">
        <v>18</v>
      </c>
      <c r="F625" s="20">
        <f>SUM(F619:F624)</f>
        <v>15621.900000000001</v>
      </c>
      <c r="G625" s="20">
        <f>SUM(G619:G624)</f>
        <v>0</v>
      </c>
      <c r="H625" s="20">
        <f>SUM(H619:H624)</f>
        <v>0</v>
      </c>
      <c r="I625" s="20">
        <f>SUM(I619:I624)</f>
        <v>15621.900000000001</v>
      </c>
      <c r="J625" s="97">
        <f>SUM(J619:J624)</f>
        <v>0</v>
      </c>
      <c r="K625" s="155"/>
    </row>
    <row r="626" spans="1:11" ht="25.5" x14ac:dyDescent="0.2">
      <c r="A626" s="169" t="s">
        <v>243</v>
      </c>
      <c r="B626" s="177"/>
      <c r="C626" s="177"/>
      <c r="D626" s="177"/>
      <c r="E626" s="63" t="s">
        <v>75</v>
      </c>
      <c r="F626" s="20">
        <f>F625+F618+F611+F604</f>
        <v>36636.6</v>
      </c>
      <c r="G626" s="20">
        <f>G625+G618+G611+G604</f>
        <v>0</v>
      </c>
      <c r="H626" s="20">
        <f>H625+H618+H611+H604</f>
        <v>0</v>
      </c>
      <c r="I626" s="20">
        <f>I625+I618+I611+I604</f>
        <v>33624.1</v>
      </c>
      <c r="J626" s="20">
        <f>J625+J618+J611+J604</f>
        <v>3012.5</v>
      </c>
      <c r="K626" s="93"/>
    </row>
    <row r="627" spans="1:11" ht="15.75" customHeight="1" thickBot="1" x14ac:dyDescent="0.25">
      <c r="A627" s="387" t="s">
        <v>273</v>
      </c>
      <c r="B627" s="328"/>
      <c r="C627" s="328"/>
      <c r="D627" s="328"/>
      <c r="E627" s="328"/>
      <c r="F627" s="328"/>
      <c r="G627" s="328"/>
      <c r="H627" s="328"/>
      <c r="I627" s="328"/>
      <c r="J627" s="328"/>
      <c r="K627" s="328"/>
    </row>
    <row r="628" spans="1:11" x14ac:dyDescent="0.2">
      <c r="A628" s="388" t="s">
        <v>137</v>
      </c>
      <c r="B628" s="146" t="s">
        <v>138</v>
      </c>
      <c r="C628" s="167" t="s">
        <v>75</v>
      </c>
      <c r="D628" s="151" t="s">
        <v>257</v>
      </c>
      <c r="E628" s="133">
        <v>2015</v>
      </c>
      <c r="F628" s="97">
        <f t="shared" ref="F628:F633" si="47">SUM(G628:I628)</f>
        <v>2070.1</v>
      </c>
      <c r="G628" s="14"/>
      <c r="H628" s="14"/>
      <c r="I628" s="14">
        <v>2070.1</v>
      </c>
      <c r="J628" s="14"/>
      <c r="K628" s="151" t="s">
        <v>1</v>
      </c>
    </row>
    <row r="629" spans="1:11" x14ac:dyDescent="0.2">
      <c r="A629" s="389"/>
      <c r="B629" s="147"/>
      <c r="C629" s="152"/>
      <c r="D629" s="152"/>
      <c r="E629" s="133">
        <v>2016</v>
      </c>
      <c r="F629" s="97">
        <f t="shared" si="47"/>
        <v>2173.6</v>
      </c>
      <c r="G629" s="14"/>
      <c r="H629" s="14"/>
      <c r="I629" s="14">
        <v>2173.6</v>
      </c>
      <c r="J629" s="14"/>
      <c r="K629" s="154"/>
    </row>
    <row r="630" spans="1:11" x14ac:dyDescent="0.2">
      <c r="A630" s="389"/>
      <c r="B630" s="147"/>
      <c r="C630" s="152"/>
      <c r="D630" s="152"/>
      <c r="E630" s="133">
        <v>2017</v>
      </c>
      <c r="F630" s="97">
        <f t="shared" si="47"/>
        <v>2282.3000000000002</v>
      </c>
      <c r="G630" s="14"/>
      <c r="H630" s="14"/>
      <c r="I630" s="14">
        <v>2282.3000000000002</v>
      </c>
      <c r="J630" s="14"/>
      <c r="K630" s="154"/>
    </row>
    <row r="631" spans="1:11" x14ac:dyDescent="0.2">
      <c r="A631" s="389"/>
      <c r="B631" s="147"/>
      <c r="C631" s="152"/>
      <c r="D631" s="152"/>
      <c r="E631" s="133">
        <v>2018</v>
      </c>
      <c r="F631" s="97">
        <f t="shared" si="47"/>
        <v>2396.4</v>
      </c>
      <c r="G631" s="14"/>
      <c r="H631" s="14"/>
      <c r="I631" s="14">
        <v>2396.4</v>
      </c>
      <c r="J631" s="14"/>
      <c r="K631" s="154"/>
    </row>
    <row r="632" spans="1:11" x14ac:dyDescent="0.2">
      <c r="A632" s="389"/>
      <c r="B632" s="147"/>
      <c r="C632" s="152"/>
      <c r="D632" s="152"/>
      <c r="E632" s="133">
        <v>2019</v>
      </c>
      <c r="F632" s="97">
        <f t="shared" si="47"/>
        <v>2516.1999999999998</v>
      </c>
      <c r="G632" s="14"/>
      <c r="H632" s="14"/>
      <c r="I632" s="14">
        <v>2516.1999999999998</v>
      </c>
      <c r="J632" s="14"/>
      <c r="K632" s="154"/>
    </row>
    <row r="633" spans="1:11" x14ac:dyDescent="0.2">
      <c r="A633" s="389"/>
      <c r="B633" s="147"/>
      <c r="C633" s="152"/>
      <c r="D633" s="152"/>
      <c r="E633" s="133">
        <v>2020</v>
      </c>
      <c r="F633" s="97">
        <f t="shared" si="47"/>
        <v>2642.1</v>
      </c>
      <c r="G633" s="14"/>
      <c r="H633" s="14"/>
      <c r="I633" s="14">
        <v>2642.1</v>
      </c>
      <c r="J633" s="14"/>
      <c r="K633" s="154"/>
    </row>
    <row r="634" spans="1:11" ht="13.5" thickBot="1" x14ac:dyDescent="0.25">
      <c r="A634" s="390"/>
      <c r="B634" s="369"/>
      <c r="C634" s="153"/>
      <c r="D634" s="153"/>
      <c r="E634" s="24" t="s">
        <v>18</v>
      </c>
      <c r="F634" s="20">
        <f>SUM(F628:F633)</f>
        <v>14080.699999999999</v>
      </c>
      <c r="G634" s="13"/>
      <c r="H634" s="13"/>
      <c r="I634" s="13">
        <f>SUM(I628:I633)</f>
        <v>14080.699999999999</v>
      </c>
      <c r="J634" s="13"/>
      <c r="K634" s="155"/>
    </row>
    <row r="635" spans="1:11" ht="25.5" x14ac:dyDescent="0.2">
      <c r="A635" s="169" t="s">
        <v>246</v>
      </c>
      <c r="B635" s="177"/>
      <c r="C635" s="177"/>
      <c r="D635" s="177"/>
      <c r="E635" s="63" t="s">
        <v>75</v>
      </c>
      <c r="F635" s="20">
        <f>F634</f>
        <v>14080.699999999999</v>
      </c>
      <c r="G635" s="20">
        <f>G634</f>
        <v>0</v>
      </c>
      <c r="H635" s="20">
        <f>H634</f>
        <v>0</v>
      </c>
      <c r="I635" s="20">
        <f>I634</f>
        <v>14080.699999999999</v>
      </c>
      <c r="J635" s="18"/>
      <c r="K635" s="93"/>
    </row>
    <row r="636" spans="1:11" ht="47.25" x14ac:dyDescent="0.25">
      <c r="A636" s="252" t="s">
        <v>253</v>
      </c>
      <c r="B636" s="364"/>
      <c r="C636" s="364"/>
      <c r="D636" s="365"/>
      <c r="E636" s="106" t="s">
        <v>75</v>
      </c>
      <c r="F636" s="106" t="s">
        <v>18</v>
      </c>
      <c r="G636" s="107" t="s">
        <v>10</v>
      </c>
      <c r="H636" s="99" t="s">
        <v>11</v>
      </c>
      <c r="I636" s="99" t="s">
        <v>12</v>
      </c>
      <c r="J636" s="99" t="s">
        <v>13</v>
      </c>
      <c r="K636" s="59"/>
    </row>
    <row r="637" spans="1:11" ht="15.75" x14ac:dyDescent="0.25">
      <c r="A637" s="375"/>
      <c r="B637" s="376"/>
      <c r="C637" s="376"/>
      <c r="D637" s="377"/>
      <c r="E637" s="108"/>
      <c r="F637" s="23">
        <f>F635+F626</f>
        <v>50717.299999999996</v>
      </c>
      <c r="G637" s="23">
        <f>G635+G626</f>
        <v>0</v>
      </c>
      <c r="H637" s="23">
        <f>H635+H626</f>
        <v>0</v>
      </c>
      <c r="I637" s="23">
        <f>I635+I626</f>
        <v>47704.799999999996</v>
      </c>
      <c r="J637" s="23">
        <f>J635+J626</f>
        <v>3012.5</v>
      </c>
      <c r="K637" s="59"/>
    </row>
    <row r="638" spans="1:11" ht="47.25" x14ac:dyDescent="0.25">
      <c r="A638" s="378" t="s">
        <v>139</v>
      </c>
      <c r="B638" s="379"/>
      <c r="C638" s="379"/>
      <c r="D638" s="380"/>
      <c r="E638" s="106" t="s">
        <v>157</v>
      </c>
      <c r="F638" s="106" t="s">
        <v>18</v>
      </c>
      <c r="G638" s="107" t="s">
        <v>10</v>
      </c>
      <c r="H638" s="99" t="s">
        <v>11</v>
      </c>
      <c r="I638" s="99" t="s">
        <v>12</v>
      </c>
      <c r="J638" s="99" t="s">
        <v>13</v>
      </c>
      <c r="K638" s="59"/>
    </row>
    <row r="639" spans="1:11" x14ac:dyDescent="0.2">
      <c r="A639" s="381"/>
      <c r="B639" s="382"/>
      <c r="C639" s="382"/>
      <c r="D639" s="383"/>
      <c r="E639" s="133">
        <v>2015</v>
      </c>
      <c r="F639" s="97">
        <f t="shared" ref="F639:F644" si="48">SUM(H639:J639)</f>
        <v>1157693.2999999998</v>
      </c>
      <c r="G639" s="14"/>
      <c r="H639" s="14">
        <f>H628+H619+H612+H605+H598+H586+H579+H572+H565+H558+H551+H544+H534+H527+H517+H510+H500+H493+H486+H479+H469+H462+H455+H448+H436+H426+H419+H412+H405+H395+H380+H364+H357+H350+H343+H335+H326+H314+H305+H296+H280+H273+H266+H249+H241+H231+H217+H206+H200+H193+H186+H141+H134+H98+H74+H51+H39+H32+H23+H16</f>
        <v>986489.1</v>
      </c>
      <c r="I639" s="14">
        <f>I16+I23+I32+I39+I51+I58+I65+I74+I90+I98+I108+I118+I125+I134+I141+I148+I155+I186+I193+I206+I217+I231+I241+I249+I256+I266+I273+I280+I296+I305+I314+I326+I335+I343+I350+I357+I380+I395+I405+I412+I419+I426+I436+I448+I455+I462+I469+I479+I486+I493+I500+I510+I517+I527+I534+I544+I551+I558+I565+I572+I579+I586+I598+I605+I612+I619+I628+I364+I387</f>
        <v>170563.49999999997</v>
      </c>
      <c r="J639" s="14">
        <f t="shared" ref="J639:J644" si="49">J16+J23+J32+J39+J51+J58+J65+J74+J90+J98+J108+J118+J125+J134+J141+J148+J155+J186+J193+J206+J217+J231+J241+J249+J256+J266+J273+J280+J296+J305+J314+J326+J335+J343+J350+J357+J380+J395+J405+J412+J419+J426+J436+J448+J455+J462+J469+J479+J486+J493+J500+J510+J517+J527+J534+J544+J551+J558+J565+J572+J579+J586+J598+J605+J612+J619+J628</f>
        <v>640.69999999999993</v>
      </c>
      <c r="K639" s="171"/>
    </row>
    <row r="640" spans="1:11" x14ac:dyDescent="0.2">
      <c r="A640" s="381"/>
      <c r="B640" s="382"/>
      <c r="C640" s="382"/>
      <c r="D640" s="383"/>
      <c r="E640" s="133">
        <v>2016</v>
      </c>
      <c r="F640" s="97">
        <f t="shared" si="48"/>
        <v>1132855.8</v>
      </c>
      <c r="G640" s="14"/>
      <c r="H640" s="14">
        <f>H17+H24+H33+H40+H52+H59+H66+H75+H91+H99+H109+H119+H126+H135+H142+H149+H156+H187+H194+H207+H218+H232+H242+H250+H257+H267+H274+H281+H297+H306+H315+H327+H336+H344+H351+H358+H381+H396+H406+H413+H420+H427+H437+H449+H456+H463+H470+H480+H487+H494+H501+H511+H518+H528+H535+H545+H552+H559+H566+H573+H580+H587+H599+H606+H613+H620+H629+H288+H176+H46+H213</f>
        <v>937074.5</v>
      </c>
      <c r="I640" s="14">
        <f>I17+I24+I33+I40+I52+I59+I66+I75+I91+I99+I109+I119+I126+I135+I142+I149+I156+I187+I194+I207+I218+I232+I242+I250+I257+I267+I274+I281+I297+I306+I315+I327+I336+I344+I351+I358+I381+I396+I406+I413+I420+I427+I437+I449+I456+I463+I470+I480+I487+I494+I501+I511+I518+I528+I535+I545+I552+I559+I566+I573+I580+I587+I599+I606+I613+I620+I629+I388+I371+I224+I82+I288+I213+I46</f>
        <v>194852.49999999994</v>
      </c>
      <c r="J640" s="14">
        <f t="shared" si="49"/>
        <v>928.79999999999984</v>
      </c>
      <c r="K640" s="171"/>
    </row>
    <row r="641" spans="1:11" x14ac:dyDescent="0.2">
      <c r="A641" s="381"/>
      <c r="B641" s="382"/>
      <c r="C641" s="382"/>
      <c r="D641" s="383"/>
      <c r="E641" s="133">
        <v>2017</v>
      </c>
      <c r="F641" s="97">
        <f t="shared" si="48"/>
        <v>1168154.7999999998</v>
      </c>
      <c r="G641" s="14"/>
      <c r="H641" s="14">
        <f>H18+H25+H34+H41+H53+H60+H67+H76+H92+H100+H110+H120+H127+H136+H143+H150+H157+H188+H195+H208+H219+H233+H243+H251+H258+H268+H275+H282+H298+H307+H316+H328+H337+H345+H352+H359+H382+H397+H407+H414+H421+H428+H438+H450+H457+H464+H471+H481+H488+H495+H502+H512+H519+H529+H536+H546+H553+H560+H567+H574+H581+H588+H600+H607+H614+H621+H630+H214</f>
        <v>993330.49999999988</v>
      </c>
      <c r="I641" s="14">
        <f>I18+I25+I34+I41+I53+I60+I67+I76+I92+I100+I110+I120+I127+I136+I143+I150+I157+I188+I195+I208+I219+I233+I243+I251+I258+I268+I275+I282+I298+I307+I316+I328+I337+I345+I352+I359+I382+I397+I407+I414+I421+I428+I438+I450+I457+I464+I471+I481+I488+I495+I502+I512+I519+I529+I536+I546+I553+I560+I567+I574+I581+I588+I600+I607+I614+I621+I630+I389+I214</f>
        <v>174489.49999999997</v>
      </c>
      <c r="J641" s="14">
        <f t="shared" si="49"/>
        <v>334.8</v>
      </c>
      <c r="K641" s="171"/>
    </row>
    <row r="642" spans="1:11" x14ac:dyDescent="0.2">
      <c r="A642" s="381"/>
      <c r="B642" s="382"/>
      <c r="C642" s="382"/>
      <c r="D642" s="383"/>
      <c r="E642" s="133">
        <v>2018</v>
      </c>
      <c r="F642" s="97">
        <f t="shared" si="48"/>
        <v>1291742.4000000001</v>
      </c>
      <c r="G642" s="14"/>
      <c r="H642" s="14">
        <f>H19+H26+H35+H42+H54+H61+H68+H77+H93+H101+H111+H121+H128+H137+H144+H151+H158+H189+H196+H209+H220+H234+H244+H252+H259+H269+H276+H283+H299+H308+H317+H329+H338+H346+H353+H360+H383+H398+H408+H415+H422+H429+H439+H451+H458+H465+H472+H482+H489+H496+H503+H513+H520+H530+H537+H547+H554+H561+H568+H575+H582+H589+H601+H608+H615+H622+H631</f>
        <v>1101901.9000000001</v>
      </c>
      <c r="I642" s="14">
        <f>I19+I26+I35+I42+I54+I61+I68+I77+I93+I101+I111+I121+I128+I137+I144+I151+I158+I189+I196+I209+I220+I234+I244+I252+I259+I269+I276+I283+I299+I308+I317+I329+I338+I346+I353+I360+I383+I398+I408+I415+I422+I429+I439+I451+I458+I465+I472+I482+I489+I496+I503+I513+I520+I530+I537+I547+I554+I561+I568+I575+I582+I589+I601+I608+I615+I622+I631+I390</f>
        <v>188479</v>
      </c>
      <c r="J642" s="14">
        <f t="shared" si="49"/>
        <v>1361.5</v>
      </c>
      <c r="K642" s="171"/>
    </row>
    <row r="643" spans="1:11" x14ac:dyDescent="0.2">
      <c r="A643" s="381"/>
      <c r="B643" s="382"/>
      <c r="C643" s="382"/>
      <c r="D643" s="383"/>
      <c r="E643" s="133">
        <v>2019</v>
      </c>
      <c r="F643" s="97">
        <f t="shared" si="48"/>
        <v>1442304.2999999998</v>
      </c>
      <c r="G643" s="14"/>
      <c r="H643" s="14">
        <f>H20+H27+H36+H43+H55+H62+H69+H78+H94+H102+H112+H122+H129+H138+H145+H152+H159+H190+H197+H210+H221+H235+H245+H253+H260+H270+H277+H284+H300+H309+H318+H330+H339+H347+H354+H361+H384+H399+H409+H416+H423+H430+H440+H452+H459+H466+H473+H483+H490+H497+H504+H514+H521+H531+H538+H548+H555+H562+H569+H576+H583+H590+H602+H609+H616+H623+H632</f>
        <v>1245461.4999999998</v>
      </c>
      <c r="I643" s="14">
        <f>I20+I27+I36+I43+I55+I62+I69+I78+I94+I102+I112+I122+I129+I138+I145+I152+I159+I190+I197+I210+I221+I235+I245+I253+I260+I270+I277+I284+I300+I309+I318+I330+I339+I347+I354+I361+I384+I399+I409+I416+I423+I430+I440+I452+I459+I466+I473+I483+I490+I497+I504+I514+I521+I531+I538+I548+I555+I562+I569+I576+I583+I590+I602+I609+I616+I623+I632+I391</f>
        <v>195403.69999999995</v>
      </c>
      <c r="J643" s="14">
        <f t="shared" si="49"/>
        <v>1439.1</v>
      </c>
      <c r="K643" s="171"/>
    </row>
    <row r="644" spans="1:11" x14ac:dyDescent="0.2">
      <c r="A644" s="381"/>
      <c r="B644" s="382"/>
      <c r="C644" s="382"/>
      <c r="D644" s="383"/>
      <c r="E644" s="133">
        <v>2020</v>
      </c>
      <c r="F644" s="97">
        <f t="shared" si="48"/>
        <v>1523546.6</v>
      </c>
      <c r="G644" s="14"/>
      <c r="H644" s="14">
        <f>H21+H28+H37+H44+H56+H63+H70+H79+H95+H103+H113+H123+H130+H139+H146+H153+H160+H191+H198+H211+H222+H236+H246+H254+H261+H271+H278+H285+H301+H310+H319+H331+H340+H348+H355+H362+H385+H400+H410+H417+H424+H431+H441+H453+H460+H467+H474+H484+H491+H498+H505+H515+H522+H532+H539+H549+H556+H563+H570+H577+H584+H591+H603+H610+H617+H624+H633</f>
        <v>1320769.1000000001</v>
      </c>
      <c r="I644" s="14">
        <f>I21+I28+I37+I44+I56+I63+I70+I79+I95+I103+I113+I123+I130+I139+I146+I153+I160+I191+I198+I211+I222+I236+I246+I254+I261+I271+I278+I285+I301+I310+I319+I331+I340+I348+I355+I362+I385+I400+I410+I417+I424+I431+I441+I453+I460+I467+I474+I484+I491+I498+I505+I515+I522+I532+I539+I549+I556+I563+I570+I577+I584+I591+I603+I610+I617+I624+I633+I392</f>
        <v>201254.90000000002</v>
      </c>
      <c r="J644" s="14">
        <f t="shared" si="49"/>
        <v>1522.6000000000001</v>
      </c>
      <c r="K644" s="171"/>
    </row>
    <row r="645" spans="1:11" ht="15.75" customHeight="1" x14ac:dyDescent="0.2">
      <c r="A645" s="384"/>
      <c r="B645" s="385"/>
      <c r="C645" s="385"/>
      <c r="D645" s="386"/>
      <c r="E645" s="24" t="s">
        <v>158</v>
      </c>
      <c r="F645" s="20">
        <f>SUM(F639:F644)</f>
        <v>7716297.1999999993</v>
      </c>
      <c r="G645" s="13"/>
      <c r="H645" s="13">
        <f>SUM(H639:H644)</f>
        <v>6585026.5999999996</v>
      </c>
      <c r="I645" s="13">
        <f>SUM(I639:I644)</f>
        <v>1125043.0999999999</v>
      </c>
      <c r="J645" s="13">
        <f>SUM(J639:J644)</f>
        <v>6227.5</v>
      </c>
      <c r="K645" s="171"/>
    </row>
    <row r="647" spans="1:11" x14ac:dyDescent="0.2">
      <c r="I647" s="98"/>
    </row>
  </sheetData>
  <mergeCells count="479">
    <mergeCell ref="D46:D48"/>
    <mergeCell ref="A321:K321"/>
    <mergeCell ref="A322:D322"/>
    <mergeCell ref="A324:K324"/>
    <mergeCell ref="A325:K325"/>
    <mergeCell ref="A314:A320"/>
    <mergeCell ref="D387:D393"/>
    <mergeCell ref="A542:K542"/>
    <mergeCell ref="A543:K543"/>
    <mergeCell ref="C224:C229"/>
    <mergeCell ref="D224:D229"/>
    <mergeCell ref="C371:C376"/>
    <mergeCell ref="D371:D376"/>
    <mergeCell ref="A224:A229"/>
    <mergeCell ref="B371:B376"/>
    <mergeCell ref="D493:D499"/>
    <mergeCell ref="B486:B492"/>
    <mergeCell ref="C486:C492"/>
    <mergeCell ref="D486:D492"/>
    <mergeCell ref="K486:K492"/>
    <mergeCell ref="A479:A485"/>
    <mergeCell ref="B479:B485"/>
    <mergeCell ref="C479:C485"/>
    <mergeCell ref="A469:A475"/>
    <mergeCell ref="C544:C550"/>
    <mergeCell ref="D544:D550"/>
    <mergeCell ref="A446:K446"/>
    <mergeCell ref="K544:K557"/>
    <mergeCell ref="K493:K499"/>
    <mergeCell ref="K500:K506"/>
    <mergeCell ref="K479:K485"/>
    <mergeCell ref="C448:C454"/>
    <mergeCell ref="D448:D454"/>
    <mergeCell ref="K448:K475"/>
    <mergeCell ref="A462:A468"/>
    <mergeCell ref="B462:B468"/>
    <mergeCell ref="D469:D475"/>
    <mergeCell ref="A486:A492"/>
    <mergeCell ref="A493:A499"/>
    <mergeCell ref="B493:B499"/>
    <mergeCell ref="C493:C499"/>
    <mergeCell ref="D479:D485"/>
    <mergeCell ref="A500:A506"/>
    <mergeCell ref="B500:B506"/>
    <mergeCell ref="C500:C506"/>
    <mergeCell ref="D500:D506"/>
    <mergeCell ref="B469:B475"/>
    <mergeCell ref="C469:C475"/>
    <mergeCell ref="D612:D618"/>
    <mergeCell ref="D605:D611"/>
    <mergeCell ref="D551:D557"/>
    <mergeCell ref="C551:C557"/>
    <mergeCell ref="A551:A557"/>
    <mergeCell ref="B551:B557"/>
    <mergeCell ref="A507:D507"/>
    <mergeCell ref="A541:D541"/>
    <mergeCell ref="A527:A533"/>
    <mergeCell ref="B527:B533"/>
    <mergeCell ref="C527:C533"/>
    <mergeCell ref="A534:A540"/>
    <mergeCell ref="B534:B540"/>
    <mergeCell ref="C534:C540"/>
    <mergeCell ref="D534:D540"/>
    <mergeCell ref="D527:D533"/>
    <mergeCell ref="A508:K508"/>
    <mergeCell ref="A509:K509"/>
    <mergeCell ref="A510:A516"/>
    <mergeCell ref="B510:B516"/>
    <mergeCell ref="C510:C516"/>
    <mergeCell ref="A526:K526"/>
    <mergeCell ref="A544:A550"/>
    <mergeCell ref="B544:B550"/>
    <mergeCell ref="K598:K625"/>
    <mergeCell ref="D619:D625"/>
    <mergeCell ref="K586:K592"/>
    <mergeCell ref="A586:A592"/>
    <mergeCell ref="B586:B592"/>
    <mergeCell ref="C586:C592"/>
    <mergeCell ref="A619:A625"/>
    <mergeCell ref="B619:B625"/>
    <mergeCell ref="C619:C625"/>
    <mergeCell ref="A612:A618"/>
    <mergeCell ref="A596:K596"/>
    <mergeCell ref="A597:K597"/>
    <mergeCell ref="A594:D594"/>
    <mergeCell ref="A605:A611"/>
    <mergeCell ref="B605:B611"/>
    <mergeCell ref="C605:C611"/>
    <mergeCell ref="A598:A604"/>
    <mergeCell ref="B598:B604"/>
    <mergeCell ref="C598:C604"/>
    <mergeCell ref="D586:D592"/>
    <mergeCell ref="A593:D593"/>
    <mergeCell ref="D598:D604"/>
    <mergeCell ref="B612:B618"/>
    <mergeCell ref="C612:C618"/>
    <mergeCell ref="K639:K645"/>
    <mergeCell ref="A635:D635"/>
    <mergeCell ref="A636:D636"/>
    <mergeCell ref="A637:D637"/>
    <mergeCell ref="A638:D645"/>
    <mergeCell ref="D628:D634"/>
    <mergeCell ref="A626:D626"/>
    <mergeCell ref="A627:K627"/>
    <mergeCell ref="A628:A634"/>
    <mergeCell ref="B628:B634"/>
    <mergeCell ref="C628:C634"/>
    <mergeCell ref="K628:K634"/>
    <mergeCell ref="K558:K585"/>
    <mergeCell ref="A579:A585"/>
    <mergeCell ref="B579:B585"/>
    <mergeCell ref="C579:C585"/>
    <mergeCell ref="D579:D585"/>
    <mergeCell ref="A572:A578"/>
    <mergeCell ref="B572:B578"/>
    <mergeCell ref="C572:C578"/>
    <mergeCell ref="D572:D578"/>
    <mergeCell ref="C565:C571"/>
    <mergeCell ref="D565:D571"/>
    <mergeCell ref="A558:A564"/>
    <mergeCell ref="B558:B564"/>
    <mergeCell ref="C558:C564"/>
    <mergeCell ref="D558:D564"/>
    <mergeCell ref="A565:A571"/>
    <mergeCell ref="B565:B571"/>
    <mergeCell ref="A476:D476"/>
    <mergeCell ref="A477:K477"/>
    <mergeCell ref="A478:K478"/>
    <mergeCell ref="K426:K432"/>
    <mergeCell ref="A433:D433"/>
    <mergeCell ref="A434:K434"/>
    <mergeCell ref="A435:K435"/>
    <mergeCell ref="A426:A432"/>
    <mergeCell ref="B426:B432"/>
    <mergeCell ref="C426:C432"/>
    <mergeCell ref="D426:D432"/>
    <mergeCell ref="C462:C468"/>
    <mergeCell ref="D462:D468"/>
    <mergeCell ref="K436:K442"/>
    <mergeCell ref="A443:D443"/>
    <mergeCell ref="A444:D444"/>
    <mergeCell ref="A436:A442"/>
    <mergeCell ref="B436:B442"/>
    <mergeCell ref="C436:C442"/>
    <mergeCell ref="D436:D442"/>
    <mergeCell ref="A455:A461"/>
    <mergeCell ref="B455:B461"/>
    <mergeCell ref="C455:C461"/>
    <mergeCell ref="D455:D461"/>
    <mergeCell ref="A447:K447"/>
    <mergeCell ref="A448:A454"/>
    <mergeCell ref="B448:B454"/>
    <mergeCell ref="A404:K404"/>
    <mergeCell ref="A405:A411"/>
    <mergeCell ref="B405:B411"/>
    <mergeCell ref="C405:C411"/>
    <mergeCell ref="D405:D411"/>
    <mergeCell ref="K405:K425"/>
    <mergeCell ref="A419:A425"/>
    <mergeCell ref="B419:B425"/>
    <mergeCell ref="C419:C425"/>
    <mergeCell ref="D419:D425"/>
    <mergeCell ref="A412:A418"/>
    <mergeCell ref="B412:B418"/>
    <mergeCell ref="C412:C418"/>
    <mergeCell ref="D412:D418"/>
    <mergeCell ref="B380:B386"/>
    <mergeCell ref="A380:A386"/>
    <mergeCell ref="A387:A393"/>
    <mergeCell ref="K380:K393"/>
    <mergeCell ref="B387:B393"/>
    <mergeCell ref="C380:C386"/>
    <mergeCell ref="D380:D386"/>
    <mergeCell ref="A402:D402"/>
    <mergeCell ref="A403:K403"/>
    <mergeCell ref="K395:K401"/>
    <mergeCell ref="C387:C393"/>
    <mergeCell ref="A395:A401"/>
    <mergeCell ref="B395:B401"/>
    <mergeCell ref="C395:C401"/>
    <mergeCell ref="D395:D401"/>
    <mergeCell ref="A394:K394"/>
    <mergeCell ref="A378:K378"/>
    <mergeCell ref="A379:K379"/>
    <mergeCell ref="A364:A370"/>
    <mergeCell ref="B364:B370"/>
    <mergeCell ref="C364:C370"/>
    <mergeCell ref="D364:D370"/>
    <mergeCell ref="K371:K376"/>
    <mergeCell ref="K364:K370"/>
    <mergeCell ref="A377:D377"/>
    <mergeCell ref="A371:A376"/>
    <mergeCell ref="K350:K356"/>
    <mergeCell ref="A357:A363"/>
    <mergeCell ref="B357:B363"/>
    <mergeCell ref="C357:C363"/>
    <mergeCell ref="D357:D363"/>
    <mergeCell ref="K357:K363"/>
    <mergeCell ref="A350:A356"/>
    <mergeCell ref="B350:B356"/>
    <mergeCell ref="C350:C356"/>
    <mergeCell ref="D350:D356"/>
    <mergeCell ref="A342:K342"/>
    <mergeCell ref="A343:A349"/>
    <mergeCell ref="B343:B349"/>
    <mergeCell ref="C343:C349"/>
    <mergeCell ref="D343:D349"/>
    <mergeCell ref="K343:K349"/>
    <mergeCell ref="K326:K332"/>
    <mergeCell ref="A333:K333"/>
    <mergeCell ref="A334:K334"/>
    <mergeCell ref="A335:A341"/>
    <mergeCell ref="B335:B341"/>
    <mergeCell ref="C335:C341"/>
    <mergeCell ref="D335:D341"/>
    <mergeCell ref="K335:K341"/>
    <mergeCell ref="A326:A332"/>
    <mergeCell ref="B326:B332"/>
    <mergeCell ref="C326:C332"/>
    <mergeCell ref="D326:D332"/>
    <mergeCell ref="K314:K320"/>
    <mergeCell ref="K296:K302"/>
    <mergeCell ref="A303:D303"/>
    <mergeCell ref="A304:K304"/>
    <mergeCell ref="A305:A311"/>
    <mergeCell ref="B305:B311"/>
    <mergeCell ref="C305:C311"/>
    <mergeCell ref="D305:D311"/>
    <mergeCell ref="K305:K311"/>
    <mergeCell ref="A313:K313"/>
    <mergeCell ref="B314:B320"/>
    <mergeCell ref="C314:C320"/>
    <mergeCell ref="D314:D320"/>
    <mergeCell ref="A312:D312"/>
    <mergeCell ref="A295:E295"/>
    <mergeCell ref="A296:A302"/>
    <mergeCell ref="B296:B302"/>
    <mergeCell ref="C296:C302"/>
    <mergeCell ref="D296:D302"/>
    <mergeCell ref="K266:K272"/>
    <mergeCell ref="K273:K279"/>
    <mergeCell ref="A280:A286"/>
    <mergeCell ref="B280:B286"/>
    <mergeCell ref="C280:C286"/>
    <mergeCell ref="D273:D279"/>
    <mergeCell ref="A294:D294"/>
    <mergeCell ref="K287:K293"/>
    <mergeCell ref="D280:D286"/>
    <mergeCell ref="K280:K286"/>
    <mergeCell ref="A273:A279"/>
    <mergeCell ref="B273:B279"/>
    <mergeCell ref="C273:C279"/>
    <mergeCell ref="A266:A272"/>
    <mergeCell ref="B266:B272"/>
    <mergeCell ref="C266:C272"/>
    <mergeCell ref="D266:D272"/>
    <mergeCell ref="D249:D255"/>
    <mergeCell ref="K249:K255"/>
    <mergeCell ref="K256:K262"/>
    <mergeCell ref="A263:D263"/>
    <mergeCell ref="A265:K265"/>
    <mergeCell ref="A256:A262"/>
    <mergeCell ref="B256:B262"/>
    <mergeCell ref="C256:C262"/>
    <mergeCell ref="D256:D262"/>
    <mergeCell ref="A264:K264"/>
    <mergeCell ref="F169:J174"/>
    <mergeCell ref="K193:K199"/>
    <mergeCell ref="A183:D183"/>
    <mergeCell ref="A184:K184"/>
    <mergeCell ref="A185:K185"/>
    <mergeCell ref="K186:K192"/>
    <mergeCell ref="A186:A192"/>
    <mergeCell ref="B186:B192"/>
    <mergeCell ref="C186:C192"/>
    <mergeCell ref="D186:D192"/>
    <mergeCell ref="A193:A199"/>
    <mergeCell ref="B193:B199"/>
    <mergeCell ref="C193:C199"/>
    <mergeCell ref="D193:D199"/>
    <mergeCell ref="B176:B181"/>
    <mergeCell ref="A176:A181"/>
    <mergeCell ref="C176:C181"/>
    <mergeCell ref="D176:D181"/>
    <mergeCell ref="K176:K181"/>
    <mergeCell ref="A182:D182"/>
    <mergeCell ref="D162:D168"/>
    <mergeCell ref="F162:J168"/>
    <mergeCell ref="A134:A140"/>
    <mergeCell ref="B134:B140"/>
    <mergeCell ref="C134:C140"/>
    <mergeCell ref="D134:D140"/>
    <mergeCell ref="K148:K154"/>
    <mergeCell ref="A155:A161"/>
    <mergeCell ref="B155:B161"/>
    <mergeCell ref="C155:C161"/>
    <mergeCell ref="D155:D161"/>
    <mergeCell ref="K155:K161"/>
    <mergeCell ref="A148:A154"/>
    <mergeCell ref="B148:B154"/>
    <mergeCell ref="C148:C154"/>
    <mergeCell ref="D148:D154"/>
    <mergeCell ref="K162:K175"/>
    <mergeCell ref="A162:A168"/>
    <mergeCell ref="B162:B168"/>
    <mergeCell ref="C162:C168"/>
    <mergeCell ref="B169:B175"/>
    <mergeCell ref="C169:C175"/>
    <mergeCell ref="D169:D175"/>
    <mergeCell ref="A169:A175"/>
    <mergeCell ref="K134:K147"/>
    <mergeCell ref="A141:A147"/>
    <mergeCell ref="B141:B147"/>
    <mergeCell ref="C141:C147"/>
    <mergeCell ref="D141:D147"/>
    <mergeCell ref="A118:A124"/>
    <mergeCell ref="B118:B124"/>
    <mergeCell ref="C118:C124"/>
    <mergeCell ref="D118:D124"/>
    <mergeCell ref="A132:K132"/>
    <mergeCell ref="A133:K133"/>
    <mergeCell ref="A115:E115"/>
    <mergeCell ref="F115:J115"/>
    <mergeCell ref="A116:K116"/>
    <mergeCell ref="A117:K117"/>
    <mergeCell ref="K118:K124"/>
    <mergeCell ref="A125:A131"/>
    <mergeCell ref="B125:B131"/>
    <mergeCell ref="C125:C131"/>
    <mergeCell ref="D125:D131"/>
    <mergeCell ref="K125:K131"/>
    <mergeCell ref="A105:D105"/>
    <mergeCell ref="A106:K106"/>
    <mergeCell ref="A107:K107"/>
    <mergeCell ref="A108:A114"/>
    <mergeCell ref="B108:B114"/>
    <mergeCell ref="C108:C114"/>
    <mergeCell ref="D108:D114"/>
    <mergeCell ref="K108:K114"/>
    <mergeCell ref="A90:A96"/>
    <mergeCell ref="B90:B96"/>
    <mergeCell ref="C90:C96"/>
    <mergeCell ref="D90:D96"/>
    <mergeCell ref="K90:K96"/>
    <mergeCell ref="A97:K97"/>
    <mergeCell ref="A98:A104"/>
    <mergeCell ref="B98:B104"/>
    <mergeCell ref="C98:C104"/>
    <mergeCell ref="D98:D104"/>
    <mergeCell ref="K98:K104"/>
    <mergeCell ref="A72:D72"/>
    <mergeCell ref="A73:K73"/>
    <mergeCell ref="A74:A80"/>
    <mergeCell ref="B74:B80"/>
    <mergeCell ref="C74:C80"/>
    <mergeCell ref="D74:D80"/>
    <mergeCell ref="K74:K80"/>
    <mergeCell ref="A88:D88"/>
    <mergeCell ref="A89:K89"/>
    <mergeCell ref="C81:C87"/>
    <mergeCell ref="D81:D87"/>
    <mergeCell ref="A81:A87"/>
    <mergeCell ref="B81:B87"/>
    <mergeCell ref="K81:K87"/>
    <mergeCell ref="B51:B57"/>
    <mergeCell ref="C51:C57"/>
    <mergeCell ref="D51:D57"/>
    <mergeCell ref="K32:K49"/>
    <mergeCell ref="K51:K64"/>
    <mergeCell ref="A49:D49"/>
    <mergeCell ref="K65:K71"/>
    <mergeCell ref="A58:A64"/>
    <mergeCell ref="B58:B64"/>
    <mergeCell ref="C58:C64"/>
    <mergeCell ref="D58:D64"/>
    <mergeCell ref="A65:A71"/>
    <mergeCell ref="B65:B71"/>
    <mergeCell ref="C65:C71"/>
    <mergeCell ref="D65:D71"/>
    <mergeCell ref="D39:D45"/>
    <mergeCell ref="A50:K50"/>
    <mergeCell ref="A39:A45"/>
    <mergeCell ref="B39:B45"/>
    <mergeCell ref="A51:A57"/>
    <mergeCell ref="C39:C45"/>
    <mergeCell ref="A46:A48"/>
    <mergeCell ref="B46:B48"/>
    <mergeCell ref="C46:C48"/>
    <mergeCell ref="A16:A22"/>
    <mergeCell ref="B16:B22"/>
    <mergeCell ref="W30:Z30"/>
    <mergeCell ref="A31:K31"/>
    <mergeCell ref="A32:A38"/>
    <mergeCell ref="B32:B38"/>
    <mergeCell ref="C32:C38"/>
    <mergeCell ref="L30:N30"/>
    <mergeCell ref="O30:R30"/>
    <mergeCell ref="S30:V30"/>
    <mergeCell ref="A30:D30"/>
    <mergeCell ref="D32:D38"/>
    <mergeCell ref="A23:A29"/>
    <mergeCell ref="B23:B29"/>
    <mergeCell ref="C23:C29"/>
    <mergeCell ref="D23:D29"/>
    <mergeCell ref="K23:K29"/>
    <mergeCell ref="C16:C22"/>
    <mergeCell ref="D16:D22"/>
    <mergeCell ref="K16:K22"/>
    <mergeCell ref="H1:K1"/>
    <mergeCell ref="H2:K2"/>
    <mergeCell ref="E10:E11"/>
    <mergeCell ref="F10:J10"/>
    <mergeCell ref="A14:K14"/>
    <mergeCell ref="A15:K15"/>
    <mergeCell ref="A13:K13"/>
    <mergeCell ref="A10:A11"/>
    <mergeCell ref="B10:B11"/>
    <mergeCell ref="A5:K5"/>
    <mergeCell ref="A6:K6"/>
    <mergeCell ref="A7:K7"/>
    <mergeCell ref="K10:K11"/>
    <mergeCell ref="C10:C11"/>
    <mergeCell ref="D10:D11"/>
    <mergeCell ref="A217:A223"/>
    <mergeCell ref="B217:B223"/>
    <mergeCell ref="C217:C223"/>
    <mergeCell ref="D217:D223"/>
    <mergeCell ref="K217:K223"/>
    <mergeCell ref="K200:K204"/>
    <mergeCell ref="B206:B212"/>
    <mergeCell ref="B200:B204"/>
    <mergeCell ref="C200:C204"/>
    <mergeCell ref="D200:D204"/>
    <mergeCell ref="A216:K216"/>
    <mergeCell ref="A206:A212"/>
    <mergeCell ref="A200:A204"/>
    <mergeCell ref="C206:C212"/>
    <mergeCell ref="D206:D212"/>
    <mergeCell ref="K206:K212"/>
    <mergeCell ref="A213:A215"/>
    <mergeCell ref="B213:B215"/>
    <mergeCell ref="C213:C215"/>
    <mergeCell ref="D213:D215"/>
    <mergeCell ref="K213:K215"/>
    <mergeCell ref="K224:K229"/>
    <mergeCell ref="A287:A293"/>
    <mergeCell ref="B287:B293"/>
    <mergeCell ref="C287:C293"/>
    <mergeCell ref="D287:D293"/>
    <mergeCell ref="A230:K230"/>
    <mergeCell ref="A231:A237"/>
    <mergeCell ref="B231:B237"/>
    <mergeCell ref="C231:C237"/>
    <mergeCell ref="D231:D237"/>
    <mergeCell ref="K231:K237"/>
    <mergeCell ref="A238:D238"/>
    <mergeCell ref="A239:K239"/>
    <mergeCell ref="A240:K240"/>
    <mergeCell ref="A241:A247"/>
    <mergeCell ref="B241:B247"/>
    <mergeCell ref="C241:C247"/>
    <mergeCell ref="D241:D247"/>
    <mergeCell ref="K241:K247"/>
    <mergeCell ref="B224:B229"/>
    <mergeCell ref="A248:K248"/>
    <mergeCell ref="A249:A255"/>
    <mergeCell ref="B249:B255"/>
    <mergeCell ref="C249:C255"/>
    <mergeCell ref="A517:A523"/>
    <mergeCell ref="B517:B523"/>
    <mergeCell ref="C517:C523"/>
    <mergeCell ref="D517:D523"/>
    <mergeCell ref="K534:K540"/>
    <mergeCell ref="K527:K533"/>
    <mergeCell ref="D510:D516"/>
    <mergeCell ref="K510:K516"/>
    <mergeCell ref="A524:D524"/>
    <mergeCell ref="A525:K525"/>
    <mergeCell ref="K517:K523"/>
  </mergeCells>
  <phoneticPr fontId="0" type="noConversion"/>
  <pageMargins left="0.75" right="0.75" top="1" bottom="1" header="0.5" footer="0.5"/>
  <pageSetup paperSize="9" scale="61" orientation="landscape" r:id="rId1"/>
  <headerFooter alignWithMargins="0"/>
  <rowBreaks count="17" manualBreakCount="17">
    <brk id="30" max="10" man="1"/>
    <brk id="72" max="10" man="1"/>
    <brk id="115" max="10" man="1"/>
    <brk id="147" max="10" man="1"/>
    <brk id="183" max="10" man="1"/>
    <brk id="223" max="10" man="1"/>
    <brk id="263" max="10" man="1"/>
    <brk id="294" max="10" man="1"/>
    <brk id="323" max="10" man="1"/>
    <brk id="363" max="10" man="1"/>
    <brk id="402" max="10" man="1"/>
    <brk id="445" max="10" man="1"/>
    <brk id="476" max="10" man="1"/>
    <brk id="516" max="10" man="1"/>
    <brk id="557" max="10" man="1"/>
    <brk id="595" max="10" man="1"/>
    <brk id="63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 декабрь</vt:lpstr>
      <vt:lpstr>Лист2</vt:lpstr>
      <vt:lpstr>'программа декабрь'!Область_печати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Парубец Елена Анатольевна</cp:lastModifiedBy>
  <cp:lastPrinted>2016-07-31T23:57:05Z</cp:lastPrinted>
  <dcterms:created xsi:type="dcterms:W3CDTF">1996-10-08T23:32:33Z</dcterms:created>
  <dcterms:modified xsi:type="dcterms:W3CDTF">2016-07-31T23:57:11Z</dcterms:modified>
</cp:coreProperties>
</file>