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новая 2019\программа сентябрь 2019\"/>
    </mc:Choice>
  </mc:AlternateContent>
  <bookViews>
    <workbookView xWindow="0" yWindow="0" windowWidth="21570" windowHeight="7485"/>
  </bookViews>
  <sheets>
    <sheet name="сентябрь 2019" sheetId="1" r:id="rId1"/>
    <sheet name="Лист1" sheetId="2" r:id="rId2"/>
  </sheets>
  <definedNames>
    <definedName name="_xlnm.Print_Area" localSheetId="0">'сентябрь 2019'!$A$1:$K$997</definedName>
  </definedNames>
  <calcPr calcId="162913"/>
</workbook>
</file>

<file path=xl/calcChain.xml><?xml version="1.0" encoding="utf-8"?>
<calcChain xmlns="http://schemas.openxmlformats.org/spreadsheetml/2006/main">
  <c r="B3" i="2" l="1"/>
  <c r="B5" i="2" l="1"/>
  <c r="D5" i="2"/>
  <c r="D3" i="2"/>
  <c r="D7" i="2" s="1"/>
  <c r="C5" i="2"/>
  <c r="C3" i="2"/>
  <c r="C7" i="2" l="1"/>
  <c r="B7" i="2"/>
  <c r="P987" i="1"/>
  <c r="J898" i="1" l="1"/>
  <c r="J897" i="1"/>
  <c r="J990" i="1"/>
  <c r="I974" i="1"/>
  <c r="I962" i="1"/>
  <c r="I950" i="1"/>
  <c r="I935" i="1"/>
  <c r="I921" i="1"/>
  <c r="J909" i="1"/>
  <c r="I909" i="1"/>
  <c r="I897" i="1"/>
  <c r="J885" i="1"/>
  <c r="I885" i="1"/>
  <c r="I866" i="1"/>
  <c r="H668" i="1"/>
  <c r="H651" i="1"/>
  <c r="I534" i="1"/>
  <c r="I507" i="1"/>
  <c r="H413" i="1"/>
  <c r="I396" i="1"/>
  <c r="I310" i="1"/>
  <c r="I285" i="1"/>
  <c r="H285" i="1"/>
  <c r="I270" i="1"/>
  <c r="H234" i="1"/>
  <c r="H233" i="1"/>
  <c r="I232" i="1"/>
  <c r="H232" i="1"/>
  <c r="I214" i="1"/>
  <c r="I159" i="1"/>
  <c r="I62" i="1"/>
  <c r="F43" i="1"/>
  <c r="H35" i="1"/>
  <c r="H34" i="1"/>
  <c r="I33" i="1"/>
  <c r="H33" i="1"/>
  <c r="I996" i="1" l="1"/>
  <c r="H996" i="1"/>
  <c r="I995" i="1"/>
  <c r="H995" i="1"/>
  <c r="I994" i="1"/>
  <c r="H994" i="1"/>
  <c r="I993" i="1" l="1"/>
  <c r="H993" i="1"/>
  <c r="I992" i="1"/>
  <c r="I991" i="1"/>
  <c r="J996" i="1"/>
  <c r="F996" i="1" s="1"/>
  <c r="J995" i="1"/>
  <c r="F995" i="1" s="1"/>
  <c r="J994" i="1"/>
  <c r="F994" i="1" s="1"/>
  <c r="J993" i="1"/>
  <c r="J991" i="1"/>
  <c r="H991" i="1"/>
  <c r="F980" i="1"/>
  <c r="F979" i="1"/>
  <c r="F978" i="1"/>
  <c r="F977" i="1"/>
  <c r="F976" i="1"/>
  <c r="F968" i="1"/>
  <c r="F967" i="1"/>
  <c r="F966" i="1"/>
  <c r="F965" i="1"/>
  <c r="F964" i="1"/>
  <c r="F956" i="1"/>
  <c r="F955" i="1"/>
  <c r="F954" i="1"/>
  <c r="F953" i="1"/>
  <c r="F952" i="1"/>
  <c r="F941" i="1"/>
  <c r="F940" i="1"/>
  <c r="F939" i="1"/>
  <c r="F938" i="1"/>
  <c r="F937" i="1"/>
  <c r="F927" i="1"/>
  <c r="F926" i="1"/>
  <c r="F925" i="1"/>
  <c r="F924" i="1"/>
  <c r="F923" i="1"/>
  <c r="F915" i="1"/>
  <c r="F914" i="1"/>
  <c r="F913" i="1"/>
  <c r="F912" i="1"/>
  <c r="F911" i="1"/>
  <c r="F903" i="1"/>
  <c r="F902" i="1"/>
  <c r="F901" i="1"/>
  <c r="F899" i="1"/>
  <c r="F891" i="1"/>
  <c r="F890" i="1"/>
  <c r="F889" i="1"/>
  <c r="F888" i="1"/>
  <c r="F887" i="1"/>
  <c r="F867" i="1"/>
  <c r="F868" i="1"/>
  <c r="F869" i="1"/>
  <c r="F870" i="1"/>
  <c r="F871" i="1"/>
  <c r="F872" i="1"/>
  <c r="I840" i="1"/>
  <c r="F839" i="1"/>
  <c r="F838" i="1"/>
  <c r="F837" i="1"/>
  <c r="F836" i="1"/>
  <c r="F835" i="1"/>
  <c r="I828" i="1"/>
  <c r="F827" i="1"/>
  <c r="F826" i="1"/>
  <c r="F825" i="1"/>
  <c r="F824" i="1"/>
  <c r="F823" i="1"/>
  <c r="F815" i="1"/>
  <c r="F807" i="1"/>
  <c r="I797" i="1"/>
  <c r="F796" i="1"/>
  <c r="F795" i="1"/>
  <c r="F794" i="1"/>
  <c r="F793" i="1"/>
  <c r="F792" i="1"/>
  <c r="I785" i="1"/>
  <c r="F784" i="1"/>
  <c r="F783" i="1"/>
  <c r="F782" i="1"/>
  <c r="F781" i="1"/>
  <c r="F780" i="1"/>
  <c r="F762" i="1"/>
  <c r="F761" i="1"/>
  <c r="F760" i="1"/>
  <c r="F759" i="1"/>
  <c r="F758" i="1"/>
  <c r="F733" i="1"/>
  <c r="F732" i="1"/>
  <c r="F731" i="1"/>
  <c r="F730" i="1"/>
  <c r="F729" i="1"/>
  <c r="F721" i="1"/>
  <c r="F720" i="1"/>
  <c r="F719" i="1"/>
  <c r="F718" i="1"/>
  <c r="F717" i="1"/>
  <c r="F706" i="1"/>
  <c r="F705" i="1"/>
  <c r="F704" i="1"/>
  <c r="P703" i="1"/>
  <c r="S703" i="1" s="1"/>
  <c r="F703" i="1"/>
  <c r="F702" i="1"/>
  <c r="F694" i="1"/>
  <c r="F686" i="1"/>
  <c r="F685" i="1"/>
  <c r="F684" i="1"/>
  <c r="F683" i="1"/>
  <c r="F682" i="1"/>
  <c r="F674" i="1"/>
  <c r="F673" i="1"/>
  <c r="F672" i="1"/>
  <c r="F671" i="1"/>
  <c r="F670" i="1"/>
  <c r="F657" i="1"/>
  <c r="F656" i="1"/>
  <c r="I655" i="1"/>
  <c r="F655" i="1" s="1"/>
  <c r="F654" i="1"/>
  <c r="F653" i="1"/>
  <c r="F645" i="1"/>
  <c r="F644" i="1"/>
  <c r="F643" i="1"/>
  <c r="F642" i="1"/>
  <c r="F641" i="1"/>
  <c r="F631" i="1"/>
  <c r="F623" i="1"/>
  <c r="F608" i="1"/>
  <c r="F607" i="1"/>
  <c r="F606" i="1"/>
  <c r="F605" i="1"/>
  <c r="F604" i="1"/>
  <c r="F593" i="1"/>
  <c r="F584" i="1"/>
  <c r="F576" i="1"/>
  <c r="F575" i="1"/>
  <c r="F574" i="1"/>
  <c r="F573" i="1"/>
  <c r="F572" i="1"/>
  <c r="F560" i="1"/>
  <c r="F561" i="1"/>
  <c r="F559" i="1"/>
  <c r="I562" i="1"/>
  <c r="H562" i="1"/>
  <c r="J562" i="1"/>
  <c r="F554" i="1"/>
  <c r="F540" i="1"/>
  <c r="F539" i="1"/>
  <c r="F538" i="1"/>
  <c r="F537" i="1"/>
  <c r="F536" i="1"/>
  <c r="F513" i="1"/>
  <c r="F512" i="1"/>
  <c r="F511" i="1"/>
  <c r="F510" i="1"/>
  <c r="F509" i="1"/>
  <c r="F488" i="1"/>
  <c r="F487" i="1"/>
  <c r="F486" i="1"/>
  <c r="F485" i="1"/>
  <c r="F484" i="1"/>
  <c r="F476" i="1"/>
  <c r="F475" i="1"/>
  <c r="F474" i="1"/>
  <c r="F473" i="1"/>
  <c r="F472" i="1"/>
  <c r="I454" i="1"/>
  <c r="F453" i="1"/>
  <c r="F452" i="1"/>
  <c r="F451" i="1"/>
  <c r="F450" i="1"/>
  <c r="F449" i="1"/>
  <c r="F443" i="1"/>
  <c r="F442" i="1"/>
  <c r="F441" i="1"/>
  <c r="F440" i="1"/>
  <c r="F439" i="1"/>
  <c r="F429" i="1"/>
  <c r="F428" i="1"/>
  <c r="F427" i="1"/>
  <c r="F426" i="1"/>
  <c r="F425" i="1"/>
  <c r="F419" i="1"/>
  <c r="F418" i="1"/>
  <c r="F417" i="1"/>
  <c r="F416" i="1"/>
  <c r="F415" i="1"/>
  <c r="I410" i="1"/>
  <c r="F409" i="1"/>
  <c r="F402" i="1"/>
  <c r="F401" i="1"/>
  <c r="F400" i="1"/>
  <c r="F399" i="1"/>
  <c r="F398" i="1"/>
  <c r="F383" i="1"/>
  <c r="F382" i="1"/>
  <c r="F381" i="1"/>
  <c r="F380" i="1"/>
  <c r="F379" i="1"/>
  <c r="F371" i="1"/>
  <c r="F370" i="1"/>
  <c r="F369" i="1"/>
  <c r="F368" i="1"/>
  <c r="F367" i="1"/>
  <c r="H350" i="1"/>
  <c r="F349" i="1"/>
  <c r="F348" i="1"/>
  <c r="F347" i="1"/>
  <c r="F346" i="1"/>
  <c r="F345" i="1"/>
  <c r="F339" i="1"/>
  <c r="F338" i="1"/>
  <c r="F337" i="1"/>
  <c r="F336" i="1"/>
  <c r="F335" i="1"/>
  <c r="F326" i="1"/>
  <c r="F325" i="1"/>
  <c r="F324" i="1"/>
  <c r="F323" i="1"/>
  <c r="F322" i="1"/>
  <c r="F316" i="1"/>
  <c r="F315" i="1"/>
  <c r="F314" i="1"/>
  <c r="F313" i="1"/>
  <c r="F312" i="1"/>
  <c r="F253" i="1"/>
  <c r="F254" i="1"/>
  <c r="F255" i="1"/>
  <c r="F256" i="1"/>
  <c r="I302" i="1"/>
  <c r="F301" i="1"/>
  <c r="F300" i="1"/>
  <c r="F299" i="1"/>
  <c r="F298" i="1"/>
  <c r="F297" i="1"/>
  <c r="F291" i="1"/>
  <c r="F290" i="1"/>
  <c r="F289" i="1"/>
  <c r="F288" i="1"/>
  <c r="F287" i="1"/>
  <c r="F276" i="1"/>
  <c r="F275" i="1"/>
  <c r="F274" i="1"/>
  <c r="F273" i="1"/>
  <c r="F272" i="1"/>
  <c r="F262" i="1"/>
  <c r="F234" i="1"/>
  <c r="F217" i="1"/>
  <c r="H216" i="1"/>
  <c r="F216" i="1" s="1"/>
  <c r="F993" i="1" l="1"/>
  <c r="F562" i="1"/>
  <c r="F900" i="1"/>
  <c r="O703" i="1"/>
  <c r="F204" i="1"/>
  <c r="F203" i="1"/>
  <c r="F202" i="1"/>
  <c r="F201" i="1"/>
  <c r="F200" i="1"/>
  <c r="F165" i="1"/>
  <c r="F164" i="1"/>
  <c r="F163" i="1"/>
  <c r="F162" i="1"/>
  <c r="F161" i="1"/>
  <c r="F153" i="1"/>
  <c r="F152" i="1"/>
  <c r="F151" i="1"/>
  <c r="F150" i="1"/>
  <c r="F149" i="1"/>
  <c r="F95" i="1"/>
  <c r="F87" i="1"/>
  <c r="F86" i="1"/>
  <c r="F78" i="1"/>
  <c r="F77" i="1"/>
  <c r="F76" i="1"/>
  <c r="F75" i="1"/>
  <c r="F74" i="1"/>
  <c r="F68" i="1"/>
  <c r="F67" i="1"/>
  <c r="F66" i="1"/>
  <c r="F65" i="1"/>
  <c r="F64" i="1"/>
  <c r="F35" i="1"/>
  <c r="H309" i="1" l="1"/>
  <c r="I961" i="1" l="1"/>
  <c r="I949" i="1"/>
  <c r="H699" i="1"/>
  <c r="H667" i="1"/>
  <c r="H650" i="1"/>
  <c r="I506" i="1"/>
  <c r="I309" i="1"/>
  <c r="I317" i="1" s="1"/>
  <c r="I284" i="1"/>
  <c r="H284" i="1"/>
  <c r="I269" i="1"/>
  <c r="H225" i="1"/>
  <c r="I158" i="1"/>
  <c r="H71" i="1"/>
  <c r="I755" i="1" l="1"/>
  <c r="I973" i="1" l="1"/>
  <c r="I934" i="1"/>
  <c r="I942" i="1" s="1"/>
  <c r="I920" i="1"/>
  <c r="J908" i="1"/>
  <c r="I908" i="1"/>
  <c r="J896" i="1" l="1"/>
  <c r="J989" i="1" s="1"/>
  <c r="I896" i="1"/>
  <c r="I884" i="1"/>
  <c r="I865" i="1"/>
  <c r="I873" i="1" s="1"/>
  <c r="I714" i="1" l="1"/>
  <c r="I699" i="1"/>
  <c r="H679" i="1"/>
  <c r="I628" i="1"/>
  <c r="I581" i="1"/>
  <c r="I533" i="1"/>
  <c r="I481" i="1"/>
  <c r="I436" i="1"/>
  <c r="I422" i="1"/>
  <c r="I430" i="1" s="1"/>
  <c r="H412" i="1"/>
  <c r="I395" i="1"/>
  <c r="H364" i="1"/>
  <c r="H332" i="1"/>
  <c r="H319" i="1"/>
  <c r="H269" i="1" l="1"/>
  <c r="H277" i="1" s="1"/>
  <c r="I243" i="1"/>
  <c r="H197" i="1"/>
  <c r="H146" i="1"/>
  <c r="I61" i="1"/>
  <c r="I42" i="1" l="1"/>
  <c r="I44" i="1" s="1"/>
  <c r="I248" i="1" l="1"/>
  <c r="H248" i="1"/>
  <c r="F247" i="1"/>
  <c r="F248" i="1" s="1"/>
  <c r="H244" i="1"/>
  <c r="I244" i="1"/>
  <c r="F243" i="1"/>
  <c r="F238" i="1"/>
  <c r="G40" i="1"/>
  <c r="F39" i="1"/>
  <c r="F199" i="1" l="1"/>
  <c r="F866" i="1"/>
  <c r="F865" i="1"/>
  <c r="F553" i="1"/>
  <c r="F94" i="1"/>
  <c r="F42" i="1"/>
  <c r="I480" i="1" l="1"/>
  <c r="I489" i="1" s="1"/>
  <c r="I972" i="1" l="1"/>
  <c r="I960" i="1"/>
  <c r="I948" i="1"/>
  <c r="I969" i="1" l="1"/>
  <c r="I970" i="1"/>
  <c r="I981" i="1"/>
  <c r="I982" i="1"/>
  <c r="I957" i="1"/>
  <c r="I958" i="1"/>
  <c r="I803" i="1"/>
  <c r="I725" i="1"/>
  <c r="I734" i="1" s="1"/>
  <c r="I713" i="1"/>
  <c r="I722" i="1" s="1"/>
  <c r="I698" i="1"/>
  <c r="H698" i="1"/>
  <c r="H678" i="1"/>
  <c r="H666" i="1"/>
  <c r="H649" i="1"/>
  <c r="I532" i="1"/>
  <c r="I505" i="1"/>
  <c r="H411" i="1"/>
  <c r="H420" i="1" s="1"/>
  <c r="I394" i="1"/>
  <c r="H363" i="1"/>
  <c r="H331" i="1"/>
  <c r="H318" i="1"/>
  <c r="H327" i="1" s="1"/>
  <c r="H308" i="1"/>
  <c r="I283" i="1"/>
  <c r="I292" i="1" s="1"/>
  <c r="H283" i="1"/>
  <c r="H292" i="1" s="1"/>
  <c r="I278" i="1"/>
  <c r="I268" i="1"/>
  <c r="I259" i="1"/>
  <c r="I230" i="1"/>
  <c r="I224" i="1"/>
  <c r="H196" i="1"/>
  <c r="I157" i="1"/>
  <c r="H145" i="1"/>
  <c r="H70" i="1"/>
  <c r="H79" i="1" s="1"/>
  <c r="I60" i="1"/>
  <c r="H41" i="1"/>
  <c r="H44" i="1" s="1"/>
  <c r="H45" i="1"/>
  <c r="H46" i="1" s="1"/>
  <c r="I46" i="1"/>
  <c r="G46" i="1"/>
  <c r="H658" i="1" l="1"/>
  <c r="H659" i="1"/>
  <c r="F45" i="1"/>
  <c r="F46" i="1" s="1"/>
  <c r="H876" i="1"/>
  <c r="J907" i="1" l="1"/>
  <c r="J895" i="1"/>
  <c r="J883" i="1"/>
  <c r="J988" i="1" s="1"/>
  <c r="J984" i="1" l="1"/>
  <c r="H862" i="1"/>
  <c r="H798" i="1"/>
  <c r="H771" i="1"/>
  <c r="H749" i="1"/>
  <c r="H595" i="1"/>
  <c r="H455" i="1"/>
  <c r="I358" i="1"/>
  <c r="I240" i="1" l="1"/>
  <c r="H240" i="1"/>
  <c r="I237" i="1"/>
  <c r="I239" i="1" s="1"/>
  <c r="H237" i="1"/>
  <c r="H239" i="1" s="1"/>
  <c r="F252" i="1"/>
  <c r="F505" i="1" l="1"/>
  <c r="I246" i="1"/>
  <c r="H246" i="1"/>
  <c r="F245" i="1"/>
  <c r="F246" i="1" s="1"/>
  <c r="P698" i="1"/>
  <c r="S698" i="1" s="1"/>
  <c r="I876" i="1"/>
  <c r="F864" i="1"/>
  <c r="I459" i="1"/>
  <c r="F873" i="1" l="1"/>
  <c r="F876" i="1" s="1"/>
  <c r="O698" i="1"/>
  <c r="F242" i="1" l="1"/>
  <c r="F244" i="1" s="1"/>
  <c r="H982" i="1" l="1"/>
  <c r="J981" i="1"/>
  <c r="H981" i="1"/>
  <c r="F975" i="1"/>
  <c r="F974" i="1"/>
  <c r="F973" i="1"/>
  <c r="F972" i="1"/>
  <c r="H970" i="1"/>
  <c r="H958" i="1"/>
  <c r="J969" i="1"/>
  <c r="H969" i="1"/>
  <c r="F963" i="1"/>
  <c r="F962" i="1"/>
  <c r="F961" i="1"/>
  <c r="F960" i="1"/>
  <c r="H957" i="1"/>
  <c r="F951" i="1"/>
  <c r="F950" i="1"/>
  <c r="J957" i="1"/>
  <c r="F948" i="1"/>
  <c r="F650" i="1"/>
  <c r="F652" i="1"/>
  <c r="I651" i="1"/>
  <c r="I658" i="1" s="1"/>
  <c r="H430" i="1"/>
  <c r="F424" i="1"/>
  <c r="F423" i="1"/>
  <c r="F422" i="1"/>
  <c r="F421" i="1"/>
  <c r="F296" i="1"/>
  <c r="F295" i="1"/>
  <c r="F294" i="1"/>
  <c r="F293" i="1"/>
  <c r="F483" i="1"/>
  <c r="F482" i="1"/>
  <c r="F481" i="1"/>
  <c r="F480" i="1"/>
  <c r="F970" i="1" l="1"/>
  <c r="F969" i="1"/>
  <c r="F981" i="1"/>
  <c r="F982" i="1"/>
  <c r="F957" i="1"/>
  <c r="F958" i="1"/>
  <c r="F489" i="1"/>
  <c r="F430" i="1"/>
  <c r="F302" i="1"/>
  <c r="H984" i="1"/>
  <c r="I984" i="1"/>
  <c r="F949" i="1"/>
  <c r="F649" i="1"/>
  <c r="I659" i="1"/>
  <c r="F651" i="1"/>
  <c r="F984" i="1" l="1"/>
  <c r="F659" i="1"/>
  <c r="F658" i="1"/>
  <c r="I557" i="1"/>
  <c r="F557" i="1" s="1"/>
  <c r="F556" i="1"/>
  <c r="F448" i="1"/>
  <c r="F447" i="1"/>
  <c r="F446" i="1"/>
  <c r="F445" i="1"/>
  <c r="I420" i="1"/>
  <c r="F414" i="1"/>
  <c r="F413" i="1"/>
  <c r="F412" i="1"/>
  <c r="F411" i="1"/>
  <c r="F344" i="1"/>
  <c r="F343" i="1"/>
  <c r="F341" i="1"/>
  <c r="F321" i="1"/>
  <c r="F320" i="1"/>
  <c r="F318" i="1"/>
  <c r="F286" i="1"/>
  <c r="F285" i="1"/>
  <c r="F284" i="1"/>
  <c r="F283" i="1"/>
  <c r="F281" i="1"/>
  <c r="F280" i="1"/>
  <c r="F279" i="1"/>
  <c r="I282" i="1"/>
  <c r="F73" i="1"/>
  <c r="F72" i="1"/>
  <c r="F71" i="1"/>
  <c r="F70" i="1"/>
  <c r="G44" i="1"/>
  <c r="F454" i="1" l="1"/>
  <c r="F420" i="1"/>
  <c r="F292" i="1"/>
  <c r="F79" i="1"/>
  <c r="F342" i="1"/>
  <c r="F350" i="1" s="1"/>
  <c r="F319" i="1"/>
  <c r="F327" i="1" s="1"/>
  <c r="F278" i="1"/>
  <c r="F282" i="1" s="1"/>
  <c r="F41" i="1"/>
  <c r="F44" i="1" s="1"/>
  <c r="I241" i="1"/>
  <c r="H241" i="1"/>
  <c r="F240" i="1"/>
  <c r="F241" i="1" s="1"/>
  <c r="J882" i="1" l="1"/>
  <c r="I882" i="1"/>
  <c r="I892" i="1" s="1"/>
  <c r="J892" i="1" l="1"/>
  <c r="I753" i="1"/>
  <c r="I763" i="1" s="1"/>
  <c r="H697" i="1"/>
  <c r="I579" i="1"/>
  <c r="I618" i="1"/>
  <c r="I588" i="1"/>
  <c r="I567" i="1"/>
  <c r="I577" i="1" s="1"/>
  <c r="I504" i="1"/>
  <c r="I458" i="1"/>
  <c r="I434" i="1"/>
  <c r="I444" i="1" s="1"/>
  <c r="I229" i="1"/>
  <c r="I156" i="1"/>
  <c r="I59" i="1"/>
  <c r="I267" i="1" l="1"/>
  <c r="F405" i="1" l="1"/>
  <c r="F406" i="1"/>
  <c r="F407" i="1"/>
  <c r="F408" i="1"/>
  <c r="H638" i="1" l="1"/>
  <c r="F534" i="1"/>
  <c r="F507" i="1"/>
  <c r="F377" i="1"/>
  <c r="H251" i="1"/>
  <c r="H257" i="1" s="1"/>
  <c r="H231" i="1"/>
  <c r="H235" i="1" s="1"/>
  <c r="I231" i="1"/>
  <c r="H214" i="1"/>
  <c r="H990" i="1" s="1"/>
  <c r="F990" i="1" s="1"/>
  <c r="M990" i="1" s="1"/>
  <c r="N990" i="1" s="1"/>
  <c r="R987" i="1" s="1"/>
  <c r="I111" i="1"/>
  <c r="I110" i="1"/>
  <c r="I103" i="1"/>
  <c r="I990" i="1" s="1"/>
  <c r="H84" i="1"/>
  <c r="I84" i="1"/>
  <c r="I988" i="1" s="1"/>
  <c r="I32" i="1"/>
  <c r="H32" i="1"/>
  <c r="I37" i="1"/>
  <c r="I40" i="1" s="1"/>
  <c r="H37" i="1"/>
  <c r="H40" i="1" s="1"/>
  <c r="F552" i="1"/>
  <c r="F261" i="1"/>
  <c r="F198" i="1"/>
  <c r="F93" i="1"/>
  <c r="H467" i="1"/>
  <c r="H477" i="1" s="1"/>
  <c r="F551" i="1"/>
  <c r="F260" i="1"/>
  <c r="F197" i="1"/>
  <c r="F196" i="1"/>
  <c r="I697" i="1"/>
  <c r="I707" i="1" s="1"/>
  <c r="F92" i="1"/>
  <c r="H665" i="1"/>
  <c r="H677" i="1"/>
  <c r="F550" i="1"/>
  <c r="H362" i="1"/>
  <c r="H307" i="1"/>
  <c r="F259" i="1"/>
  <c r="H144" i="1"/>
  <c r="F91" i="1"/>
  <c r="I36" i="1" l="1"/>
  <c r="I989" i="1"/>
  <c r="H88" i="1"/>
  <c r="H988" i="1"/>
  <c r="H36" i="1"/>
  <c r="H989" i="1"/>
  <c r="I88" i="1"/>
  <c r="F88" i="1" s="1"/>
  <c r="I689" i="1"/>
  <c r="I251" i="1"/>
  <c r="I257" i="1" s="1"/>
  <c r="I626" i="1"/>
  <c r="I599" i="1"/>
  <c r="I609" i="1" s="1"/>
  <c r="I393" i="1" l="1"/>
  <c r="I403" i="1" s="1"/>
  <c r="F404" i="1"/>
  <c r="F410" i="1" s="1"/>
  <c r="I258" i="1" l="1"/>
  <c r="I264" i="1" s="1"/>
  <c r="I220" i="1"/>
  <c r="I90" i="1" l="1"/>
  <c r="I96" i="1" s="1"/>
  <c r="J906" i="1" l="1"/>
  <c r="J916" i="1" s="1"/>
  <c r="J894" i="1"/>
  <c r="H330" i="1"/>
  <c r="H195" i="1"/>
  <c r="H205" i="1" s="1"/>
  <c r="H143" i="1"/>
  <c r="H154" i="1" s="1"/>
  <c r="F38" i="1"/>
  <c r="F37" i="1"/>
  <c r="J904" i="1" l="1"/>
  <c r="J987" i="1"/>
  <c r="F40" i="1"/>
  <c r="F236" i="1"/>
  <c r="F237" i="1"/>
  <c r="F239" i="1" l="1"/>
  <c r="I918" i="1"/>
  <c r="I928" i="1" s="1"/>
  <c r="I906" i="1"/>
  <c r="I894" i="1"/>
  <c r="I904" i="1" l="1"/>
  <c r="I987" i="1"/>
  <c r="H374" i="1"/>
  <c r="H987" i="1" s="1"/>
  <c r="F230" i="1"/>
  <c r="J986" i="1" l="1"/>
  <c r="F225" i="1" l="1"/>
  <c r="F457" i="1" l="1"/>
  <c r="F458" i="1"/>
  <c r="F459" i="1"/>
  <c r="F460" i="1"/>
  <c r="F461" i="1"/>
  <c r="F462" i="1"/>
  <c r="I463" i="1"/>
  <c r="I464" i="1" s="1"/>
  <c r="H463" i="1"/>
  <c r="I503" i="1"/>
  <c r="I514" i="1" s="1"/>
  <c r="I530" i="1"/>
  <c r="I541" i="1" s="1"/>
  <c r="I548" i="1"/>
  <c r="I555" i="1"/>
  <c r="F555" i="1" s="1"/>
  <c r="I391" i="1"/>
  <c r="I431" i="1" s="1"/>
  <c r="F910" i="1"/>
  <c r="I16" i="1"/>
  <c r="I17" i="1" s="1"/>
  <c r="I58" i="1"/>
  <c r="I155" i="1"/>
  <c r="I219" i="1"/>
  <c r="I221" i="1" s="1"/>
  <c r="I228" i="1"/>
  <c r="I235" i="1" s="1"/>
  <c r="I266" i="1"/>
  <c r="I635" i="1"/>
  <c r="I905" i="1"/>
  <c r="I916" i="1" s="1"/>
  <c r="I616" i="1"/>
  <c r="I624" i="1"/>
  <c r="I632" i="1"/>
  <c r="I594" i="1"/>
  <c r="I585" i="1"/>
  <c r="F989" i="1"/>
  <c r="F988" i="1"/>
  <c r="H696" i="1"/>
  <c r="H707" i="1" s="1"/>
  <c r="H676" i="1"/>
  <c r="H687" i="1" s="1"/>
  <c r="H664" i="1"/>
  <c r="H675" i="1" s="1"/>
  <c r="H635" i="1"/>
  <c r="H373" i="1"/>
  <c r="H361" i="1"/>
  <c r="H372" i="1" s="1"/>
  <c r="H329" i="1"/>
  <c r="H340" i="1" s="1"/>
  <c r="H306" i="1"/>
  <c r="H317" i="1" s="1"/>
  <c r="H222" i="1"/>
  <c r="H226" i="1" s="1"/>
  <c r="H219" i="1"/>
  <c r="H221" i="1" s="1"/>
  <c r="H18" i="1"/>
  <c r="H19" i="1" s="1"/>
  <c r="H16" i="1"/>
  <c r="H17" i="1" s="1"/>
  <c r="F223" i="1"/>
  <c r="F224" i="1"/>
  <c r="F385" i="1"/>
  <c r="F386" i="1"/>
  <c r="F387" i="1"/>
  <c r="F388" i="1"/>
  <c r="F389" i="1"/>
  <c r="F390" i="1"/>
  <c r="F374" i="1"/>
  <c r="F375" i="1"/>
  <c r="F376" i="1"/>
  <c r="F378" i="1"/>
  <c r="F362" i="1"/>
  <c r="F363" i="1"/>
  <c r="F364" i="1"/>
  <c r="F365" i="1"/>
  <c r="F366" i="1"/>
  <c r="F392" i="1"/>
  <c r="F393" i="1"/>
  <c r="F394" i="1"/>
  <c r="F395" i="1"/>
  <c r="F396" i="1"/>
  <c r="F397" i="1"/>
  <c r="H391" i="1"/>
  <c r="H403" i="1"/>
  <c r="F583" i="1"/>
  <c r="F582" i="1"/>
  <c r="F581" i="1"/>
  <c r="F580" i="1"/>
  <c r="F579" i="1"/>
  <c r="F578" i="1"/>
  <c r="G563" i="1"/>
  <c r="H514" i="1"/>
  <c r="H548" i="1"/>
  <c r="J522" i="1"/>
  <c r="J529" i="1"/>
  <c r="F549" i="1"/>
  <c r="H218" i="1"/>
  <c r="F258" i="1"/>
  <c r="F264" i="1" s="1"/>
  <c r="F144" i="1"/>
  <c r="F145" i="1"/>
  <c r="F146" i="1"/>
  <c r="F147" i="1"/>
  <c r="F148" i="1"/>
  <c r="F156" i="1"/>
  <c r="F157" i="1"/>
  <c r="F158" i="1"/>
  <c r="F159" i="1"/>
  <c r="F160" i="1"/>
  <c r="F195" i="1"/>
  <c r="F205" i="1" s="1"/>
  <c r="H97" i="1"/>
  <c r="H55" i="1"/>
  <c r="H80" i="1" s="1"/>
  <c r="F467" i="1"/>
  <c r="F90" i="1"/>
  <c r="H96" i="1"/>
  <c r="F96" i="1" s="1"/>
  <c r="J928" i="1"/>
  <c r="I943" i="1"/>
  <c r="H943" i="1"/>
  <c r="H928" i="1"/>
  <c r="H916" i="1"/>
  <c r="H904" i="1"/>
  <c r="H892" i="1"/>
  <c r="F931" i="1"/>
  <c r="F932" i="1"/>
  <c r="F933" i="1"/>
  <c r="F934" i="1"/>
  <c r="F935" i="1"/>
  <c r="F936" i="1"/>
  <c r="F917" i="1"/>
  <c r="F918" i="1"/>
  <c r="F919" i="1"/>
  <c r="F920" i="1"/>
  <c r="F921" i="1"/>
  <c r="F922" i="1"/>
  <c r="F906" i="1"/>
  <c r="F907" i="1"/>
  <c r="F908" i="1"/>
  <c r="F909" i="1"/>
  <c r="F893" i="1"/>
  <c r="F894" i="1"/>
  <c r="F895" i="1"/>
  <c r="F896" i="1"/>
  <c r="F897" i="1"/>
  <c r="F898" i="1"/>
  <c r="F881" i="1"/>
  <c r="F882" i="1"/>
  <c r="F883" i="1"/>
  <c r="F884" i="1"/>
  <c r="F885" i="1"/>
  <c r="F886" i="1"/>
  <c r="I854" i="1"/>
  <c r="I847" i="1"/>
  <c r="I816" i="1"/>
  <c r="I808" i="1"/>
  <c r="I771" i="1"/>
  <c r="I695" i="1"/>
  <c r="F848" i="1"/>
  <c r="F849" i="1"/>
  <c r="F850" i="1"/>
  <c r="F851" i="1"/>
  <c r="F852" i="1"/>
  <c r="F853" i="1"/>
  <c r="F841" i="1"/>
  <c r="F842" i="1"/>
  <c r="F843" i="1"/>
  <c r="F844" i="1"/>
  <c r="F845" i="1"/>
  <c r="F846" i="1"/>
  <c r="F829" i="1"/>
  <c r="F830" i="1"/>
  <c r="F831" i="1"/>
  <c r="F832" i="1"/>
  <c r="F833" i="1"/>
  <c r="F834" i="1"/>
  <c r="F817" i="1"/>
  <c r="F818" i="1"/>
  <c r="F819" i="1"/>
  <c r="F820" i="1"/>
  <c r="F821" i="1"/>
  <c r="F822" i="1"/>
  <c r="F809" i="1"/>
  <c r="F810" i="1"/>
  <c r="F811" i="1"/>
  <c r="F812" i="1"/>
  <c r="F813" i="1"/>
  <c r="F814" i="1"/>
  <c r="F801" i="1"/>
  <c r="F802" i="1"/>
  <c r="F803" i="1"/>
  <c r="F804" i="1"/>
  <c r="F805" i="1"/>
  <c r="F806" i="1"/>
  <c r="F786" i="1"/>
  <c r="F787" i="1"/>
  <c r="F788" i="1"/>
  <c r="F789" i="1"/>
  <c r="F790" i="1"/>
  <c r="F791" i="1"/>
  <c r="F774" i="1"/>
  <c r="F775" i="1"/>
  <c r="F776" i="1"/>
  <c r="F777" i="1"/>
  <c r="F778" i="1"/>
  <c r="F779" i="1"/>
  <c r="F752" i="1"/>
  <c r="F753" i="1"/>
  <c r="F754" i="1"/>
  <c r="F755" i="1"/>
  <c r="F756" i="1"/>
  <c r="F757" i="1"/>
  <c r="F711" i="1"/>
  <c r="F712" i="1"/>
  <c r="F713" i="1"/>
  <c r="F714" i="1"/>
  <c r="F715" i="1"/>
  <c r="F716" i="1"/>
  <c r="F723" i="1"/>
  <c r="F724" i="1"/>
  <c r="F725" i="1"/>
  <c r="F726" i="1"/>
  <c r="F727" i="1"/>
  <c r="F728" i="1"/>
  <c r="G708" i="1"/>
  <c r="F665" i="1"/>
  <c r="F666" i="1"/>
  <c r="F667" i="1"/>
  <c r="F668" i="1"/>
  <c r="F669" i="1"/>
  <c r="F677" i="1"/>
  <c r="F678" i="1"/>
  <c r="F679" i="1"/>
  <c r="F680" i="1"/>
  <c r="F681" i="1"/>
  <c r="F688" i="1"/>
  <c r="F689" i="1"/>
  <c r="F690" i="1"/>
  <c r="F691" i="1"/>
  <c r="F692" i="1"/>
  <c r="F693" i="1"/>
  <c r="F697" i="1"/>
  <c r="F698" i="1"/>
  <c r="F699" i="1"/>
  <c r="F700" i="1"/>
  <c r="F701" i="1"/>
  <c r="H633" i="1"/>
  <c r="F636" i="1"/>
  <c r="F637" i="1"/>
  <c r="F638" i="1"/>
  <c r="F639" i="1"/>
  <c r="F640" i="1"/>
  <c r="F598" i="1"/>
  <c r="F599" i="1"/>
  <c r="F600" i="1"/>
  <c r="F601" i="1"/>
  <c r="F602" i="1"/>
  <c r="F603" i="1"/>
  <c r="F610" i="1"/>
  <c r="F611" i="1"/>
  <c r="F612" i="1"/>
  <c r="F613" i="1"/>
  <c r="F614" i="1"/>
  <c r="F615" i="1"/>
  <c r="F617" i="1"/>
  <c r="F618" i="1"/>
  <c r="F619" i="1"/>
  <c r="F620" i="1"/>
  <c r="F621" i="1"/>
  <c r="F622" i="1"/>
  <c r="F625" i="1"/>
  <c r="F626" i="1"/>
  <c r="F627" i="1"/>
  <c r="F628" i="1"/>
  <c r="F629" i="1"/>
  <c r="F630" i="1"/>
  <c r="F566" i="1"/>
  <c r="F567" i="1"/>
  <c r="F568" i="1"/>
  <c r="F569" i="1"/>
  <c r="F570" i="1"/>
  <c r="F571" i="1"/>
  <c r="F587" i="1"/>
  <c r="F588" i="1"/>
  <c r="F589" i="1"/>
  <c r="F590" i="1"/>
  <c r="F591" i="1"/>
  <c r="F592" i="1"/>
  <c r="F542" i="1"/>
  <c r="F548" i="1" s="1"/>
  <c r="F531" i="1"/>
  <c r="F532" i="1"/>
  <c r="F533" i="1"/>
  <c r="F535" i="1"/>
  <c r="F526" i="1"/>
  <c r="F527" i="1"/>
  <c r="F528" i="1"/>
  <c r="F519" i="1"/>
  <c r="F520" i="1"/>
  <c r="F521" i="1"/>
  <c r="F504" i="1"/>
  <c r="F506" i="1"/>
  <c r="F508" i="1"/>
  <c r="I455" i="1"/>
  <c r="I218" i="1"/>
  <c r="H478" i="1"/>
  <c r="F466" i="1"/>
  <c r="F468" i="1"/>
  <c r="F469" i="1"/>
  <c r="F470" i="1"/>
  <c r="F471" i="1"/>
  <c r="F433" i="1"/>
  <c r="F434" i="1"/>
  <c r="F435" i="1"/>
  <c r="F436" i="1"/>
  <c r="F437" i="1"/>
  <c r="F438" i="1"/>
  <c r="F307" i="1"/>
  <c r="F308" i="1"/>
  <c r="F309" i="1"/>
  <c r="F310" i="1"/>
  <c r="F311" i="1"/>
  <c r="F330" i="1"/>
  <c r="F331" i="1"/>
  <c r="F332" i="1"/>
  <c r="F333" i="1"/>
  <c r="F334" i="1"/>
  <c r="F267" i="1"/>
  <c r="F268" i="1"/>
  <c r="F269" i="1"/>
  <c r="F270" i="1"/>
  <c r="F271" i="1"/>
  <c r="F250" i="1"/>
  <c r="F251" i="1"/>
  <c r="F229" i="1"/>
  <c r="F231" i="1"/>
  <c r="F232" i="1"/>
  <c r="F220" i="1"/>
  <c r="F214" i="1"/>
  <c r="F215" i="1"/>
  <c r="I222" i="1"/>
  <c r="I226" i="1" s="1"/>
  <c r="G218" i="1"/>
  <c r="I113" i="1"/>
  <c r="I105" i="1"/>
  <c r="F105" i="1" s="1"/>
  <c r="I55" i="1"/>
  <c r="I57" i="1"/>
  <c r="I19" i="1"/>
  <c r="F107" i="1"/>
  <c r="F108" i="1"/>
  <c r="F109" i="1"/>
  <c r="F110" i="1"/>
  <c r="F111" i="1"/>
  <c r="F112" i="1"/>
  <c r="F104" i="1"/>
  <c r="F102" i="1"/>
  <c r="F101" i="1"/>
  <c r="F100" i="1"/>
  <c r="F99" i="1"/>
  <c r="F84" i="1"/>
  <c r="F82" i="1"/>
  <c r="F49" i="1"/>
  <c r="F55" i="1" s="1"/>
  <c r="F56" i="1"/>
  <c r="F57" i="1" s="1"/>
  <c r="F59" i="1"/>
  <c r="F60" i="1"/>
  <c r="F61" i="1"/>
  <c r="F62" i="1"/>
  <c r="F63" i="1"/>
  <c r="G36" i="1"/>
  <c r="G47" i="1" s="1"/>
  <c r="F29" i="1"/>
  <c r="F30" i="1"/>
  <c r="F31" i="1"/>
  <c r="F32" i="1"/>
  <c r="F33" i="1"/>
  <c r="F34" i="1"/>
  <c r="I47" i="1"/>
  <c r="H47" i="1"/>
  <c r="J20" i="1"/>
  <c r="G17" i="1"/>
  <c r="G19" i="1"/>
  <c r="J992" i="1" l="1"/>
  <c r="J997" i="1" s="1"/>
  <c r="H563" i="1"/>
  <c r="F797" i="1"/>
  <c r="F892" i="1"/>
  <c r="H464" i="1"/>
  <c r="H992" i="1"/>
  <c r="F992" i="1" s="1"/>
  <c r="F763" i="1"/>
  <c r="F771" i="1" s="1"/>
  <c r="F840" i="1"/>
  <c r="F928" i="1"/>
  <c r="F734" i="1"/>
  <c r="F904" i="1"/>
  <c r="F942" i="1"/>
  <c r="H646" i="1"/>
  <c r="H647" i="1"/>
  <c r="H661" i="1" s="1"/>
  <c r="F722" i="1"/>
  <c r="F785" i="1"/>
  <c r="F828" i="1"/>
  <c r="I646" i="1"/>
  <c r="I647" i="1"/>
  <c r="F577" i="1"/>
  <c r="F609" i="1"/>
  <c r="I563" i="1"/>
  <c r="F228" i="1"/>
  <c r="F266" i="1"/>
  <c r="F277" i="1" s="1"/>
  <c r="I277" i="1"/>
  <c r="F257" i="1"/>
  <c r="F373" i="1"/>
  <c r="F384" i="1" s="1"/>
  <c r="H384" i="1"/>
  <c r="H431" i="1" s="1"/>
  <c r="F477" i="1"/>
  <c r="F444" i="1"/>
  <c r="F455" i="1" s="1"/>
  <c r="F403" i="1"/>
  <c r="F58" i="1"/>
  <c r="F69" i="1" s="1"/>
  <c r="F80" i="1" s="1"/>
  <c r="I69" i="1"/>
  <c r="I80" i="1" s="1"/>
  <c r="F36" i="1"/>
  <c r="F47" i="1" s="1"/>
  <c r="F155" i="1"/>
  <c r="F166" i="1" s="1"/>
  <c r="I166" i="1"/>
  <c r="H303" i="1"/>
  <c r="F218" i="1"/>
  <c r="H358" i="1"/>
  <c r="I749" i="1"/>
  <c r="I862" i="1"/>
  <c r="F862" i="1" s="1"/>
  <c r="I708" i="1"/>
  <c r="H206" i="1"/>
  <c r="H708" i="1"/>
  <c r="H878" i="1" s="1"/>
  <c r="I595" i="1"/>
  <c r="I633" i="1"/>
  <c r="F16" i="1"/>
  <c r="F17" i="1" s="1"/>
  <c r="F233" i="1"/>
  <c r="F696" i="1"/>
  <c r="F707" i="1" s="1"/>
  <c r="G491" i="1"/>
  <c r="F306" i="1"/>
  <c r="F317" i="1" s="1"/>
  <c r="F18" i="1"/>
  <c r="F19" i="1" s="1"/>
  <c r="F530" i="1"/>
  <c r="F541" i="1" s="1"/>
  <c r="F664" i="1"/>
  <c r="F675" i="1" s="1"/>
  <c r="F503" i="1"/>
  <c r="F514" i="1" s="1"/>
  <c r="F847" i="1"/>
  <c r="F529" i="1"/>
  <c r="I798" i="1"/>
  <c r="F798" i="1" s="1"/>
  <c r="F991" i="1"/>
  <c r="J563" i="1"/>
  <c r="J661" i="1" s="1"/>
  <c r="F905" i="1"/>
  <c r="F916" i="1" s="1"/>
  <c r="F391" i="1"/>
  <c r="H986" i="1"/>
  <c r="I986" i="1"/>
  <c r="I997" i="1" s="1"/>
  <c r="I20" i="1"/>
  <c r="F522" i="1"/>
  <c r="I206" i="1"/>
  <c r="H20" i="1"/>
  <c r="H114" i="1" s="1"/>
  <c r="F635" i="1"/>
  <c r="F478" i="1"/>
  <c r="F816" i="1"/>
  <c r="F329" i="1"/>
  <c r="F340" i="1" s="1"/>
  <c r="F624" i="1"/>
  <c r="F808" i="1"/>
  <c r="F943" i="1"/>
  <c r="H929" i="1"/>
  <c r="H945" i="1" s="1"/>
  <c r="I97" i="1"/>
  <c r="F97" i="1" s="1"/>
  <c r="F219" i="1"/>
  <c r="F221" i="1" s="1"/>
  <c r="G20" i="1"/>
  <c r="F594" i="1"/>
  <c r="F695" i="1"/>
  <c r="F143" i="1"/>
  <c r="F154" i="1" s="1"/>
  <c r="F632" i="1"/>
  <c r="F616" i="1"/>
  <c r="F676" i="1"/>
  <c r="F687" i="1" s="1"/>
  <c r="F854" i="1"/>
  <c r="J929" i="1"/>
  <c r="J945" i="1" s="1"/>
  <c r="F585" i="1"/>
  <c r="F463" i="1"/>
  <c r="F464" i="1" s="1"/>
  <c r="I929" i="1"/>
  <c r="I945" i="1" s="1"/>
  <c r="F987" i="1"/>
  <c r="F113" i="1"/>
  <c r="F361" i="1"/>
  <c r="F372" i="1" s="1"/>
  <c r="F222" i="1"/>
  <c r="F226" i="1" s="1"/>
  <c r="H997" i="1" l="1"/>
  <c r="F708" i="1"/>
  <c r="F647" i="1"/>
  <c r="F646" i="1"/>
  <c r="F235" i="1"/>
  <c r="F303" i="1" s="1"/>
  <c r="I303" i="1"/>
  <c r="I491" i="1" s="1"/>
  <c r="H491" i="1"/>
  <c r="F431" i="1"/>
  <c r="I661" i="1"/>
  <c r="F661" i="1" s="1"/>
  <c r="I878" i="1"/>
  <c r="F878" i="1" s="1"/>
  <c r="I114" i="1"/>
  <c r="F114" i="1" s="1"/>
  <c r="F358" i="1"/>
  <c r="F20" i="1"/>
  <c r="F595" i="1"/>
  <c r="H207" i="1"/>
  <c r="F633" i="1"/>
  <c r="F206" i="1"/>
  <c r="F563" i="1"/>
  <c r="F929" i="1"/>
  <c r="F945" i="1" s="1"/>
  <c r="F749" i="1"/>
  <c r="F986" i="1"/>
  <c r="F997" i="1" s="1"/>
  <c r="I207" i="1" l="1"/>
  <c r="F207" i="1" s="1"/>
  <c r="F491" i="1"/>
</calcChain>
</file>

<file path=xl/sharedStrings.xml><?xml version="1.0" encoding="utf-8"?>
<sst xmlns="http://schemas.openxmlformats.org/spreadsheetml/2006/main" count="909" uniqueCount="436">
  <si>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</si>
  <si>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</si>
  <si>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</si>
  <si>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</si>
  <si>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</si>
  <si>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</si>
  <si>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</si>
  <si>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</si>
  <si>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</si>
  <si>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</si>
  <si>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</si>
  <si>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</si>
  <si>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</si>
  <si>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</si>
  <si>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</si>
  <si>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</si>
  <si>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</si>
  <si>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</si>
  <si>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</si>
  <si>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</si>
  <si>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</si>
  <si>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</si>
  <si>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</si>
  <si>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</si>
  <si>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</si>
  <si>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</si>
  <si>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</si>
  <si>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</si>
  <si>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</si>
  <si>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</si>
  <si>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</si>
  <si>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</si>
  <si>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</si>
  <si>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</si>
  <si>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</si>
  <si>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</si>
  <si>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</si>
  <si>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</si>
  <si>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</si>
  <si>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</si>
  <si>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</si>
  <si>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</si>
  <si>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</si>
  <si>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</si>
  <si>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</si>
  <si>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</si>
  <si>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</si>
  <si>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</si>
  <si>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</si>
  <si>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</si>
  <si>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</si>
  <si>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</si>
  <si>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</si>
  <si>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</si>
  <si>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</si>
  <si>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</si>
  <si>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</si>
  <si>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</si>
  <si>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</si>
  <si>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</si>
  <si>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</si>
  <si>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</si>
  <si>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</si>
  <si>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</si>
  <si>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</si>
  <si>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</si>
  <si>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</si>
  <si>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</si>
  <si>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</si>
  <si>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</si>
  <si>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</si>
  <si>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</si>
  <si>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</si>
  <si>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</si>
  <si>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</si>
  <si>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</si>
  <si>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</si>
  <si>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</si>
  <si>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</si>
  <si>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</si>
  <si>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</si>
  <si>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</si>
  <si>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</si>
  <si>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</si>
  <si>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</si>
  <si>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</si>
  <si>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</si>
  <si>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</si>
  <si>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</si>
  <si>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</si>
  <si>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</si>
  <si>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</si>
  <si>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</si>
  <si>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</si>
  <si>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</si>
  <si>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</si>
  <si>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</si>
  <si>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</si>
  <si>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</si>
  <si>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</si>
  <si>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</si>
  <si>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</si>
  <si>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</si>
  <si>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</si>
  <si>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</si>
  <si>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</si>
  <si>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</si>
  <si>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</si>
  <si>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</si>
  <si>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</si>
  <si>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</si>
  <si>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</si>
  <si>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</si>
  <si>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</si>
  <si>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</si>
  <si>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</si>
  <si>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</si>
  <si>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</si>
  <si>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</si>
  <si>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</si>
  <si>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</si>
  <si>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</si>
  <si>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</si>
  <si>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</si>
  <si>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</si>
  <si>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</si>
  <si>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</si>
  <si>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</si>
  <si>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</si>
  <si>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</si>
  <si>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</si>
  <si>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</si>
  <si>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</si>
  <si>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</si>
  <si>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</si>
  <si>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</si>
  <si>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</si>
  <si>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Ввод в эксплуатацию в 2016 году объекта строительства, открытие нового спортивного зала</t>
  </si>
  <si>
    <t>2017 -2018</t>
  </si>
  <si>
    <t>Комфортные и безопасные условия обучения и воспитания в общеобразовательных учреждениях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</si>
  <si>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</si>
  <si>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</si>
  <si>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</si>
  <si>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</si>
  <si>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</si>
  <si>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</si>
  <si>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</si>
  <si>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</si>
  <si>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</si>
  <si>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</si>
  <si>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</si>
  <si>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</si>
  <si>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</si>
  <si>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</si>
  <si>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</si>
  <si>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</si>
  <si>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</si>
  <si>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</si>
  <si>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</si>
  <si>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</si>
  <si>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</si>
  <si>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</si>
  <si>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</si>
  <si>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</si>
  <si>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</si>
  <si>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</si>
  <si>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</si>
  <si>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</si>
  <si>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</si>
  <si>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</si>
  <si>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</si>
  <si>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</si>
  <si>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</si>
  <si>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</si>
  <si>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</si>
  <si>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</si>
  <si>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</si>
  <si>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</si>
  <si>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</si>
  <si>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</si>
  <si>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</si>
  <si>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</si>
  <si>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</si>
  <si>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</si>
  <si>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</si>
  <si>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</si>
  <si>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</si>
  <si>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</si>
  <si>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</si>
  <si>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</si>
  <si>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</si>
  <si>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</si>
  <si>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</si>
  <si>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</si>
  <si>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</si>
  <si>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</si>
  <si>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</si>
  <si>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</si>
  <si>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</si>
  <si>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</si>
  <si>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</si>
  <si>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</si>
  <si>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</si>
  <si>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</si>
  <si>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</si>
  <si>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</si>
  <si>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</si>
  <si>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</si>
  <si>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</si>
  <si>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Управление образования администрации МО «Холмский городской округ»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</si>
  <si>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</si>
  <si>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</si>
  <si>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</si>
  <si>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</si>
  <si>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</si>
  <si>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</si>
  <si>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</si>
  <si>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</si>
  <si>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</si>
  <si>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</si>
  <si>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</si>
  <si>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</si>
  <si>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</si>
  <si>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</si>
  <si>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</si>
  <si>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</si>
  <si>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</si>
  <si>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</si>
  <si>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</si>
  <si>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</si>
  <si>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</si>
  <si>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</si>
  <si>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</si>
  <si>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</si>
  <si>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</si>
  <si>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</si>
  <si>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</si>
  <si>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</si>
  <si>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</si>
  <si>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</si>
  <si>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</si>
  <si>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</si>
  <si>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</si>
  <si>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</si>
  <si>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</si>
  <si>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</si>
  <si>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</si>
  <si>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</si>
  <si>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</si>
  <si>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</si>
  <si>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</si>
  <si>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</si>
  <si>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</si>
  <si>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</si>
  <si>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</si>
  <si>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</si>
  <si>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</si>
  <si>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</si>
  <si>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</si>
  <si>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</si>
  <si>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</si>
  <si>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</si>
  <si>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</si>
  <si>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</si>
  <si>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</si>
  <si>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</si>
  <si>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</si>
  <si>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</si>
  <si>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</si>
  <si>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</si>
  <si>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</si>
  <si>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</si>
  <si>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</si>
  <si>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</si>
  <si>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</si>
  <si>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</si>
  <si>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</si>
  <si>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</si>
  <si>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</si>
  <si>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</si>
  <si>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</si>
  <si>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</si>
  <si>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</si>
  <si>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</si>
  <si>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</si>
  <si>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</si>
  <si>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</si>
  <si>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</si>
  <si>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</si>
  <si>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</si>
  <si>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</si>
  <si>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</si>
  <si>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</si>
  <si>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</si>
  <si>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</si>
  <si>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</si>
  <si>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</si>
  <si>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</si>
  <si>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</si>
  <si>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</si>
  <si>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</si>
  <si>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</si>
  <si>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</si>
  <si>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</si>
  <si>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</si>
  <si>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</si>
  <si>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</si>
  <si>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</si>
  <si>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</si>
  <si>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</si>
  <si>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</si>
  <si>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</si>
  <si>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</si>
  <si>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</si>
  <si>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</si>
  <si>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</si>
  <si>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</si>
  <si>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</si>
  <si>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</si>
  <si>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</si>
  <si>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</si>
  <si>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</si>
  <si>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</si>
  <si>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</si>
  <si>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</si>
  <si>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</si>
  <si>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</si>
  <si>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</si>
  <si>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</si>
  <si>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</si>
  <si>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</si>
  <si>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</si>
  <si>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</si>
  <si>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</si>
  <si>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</si>
  <si>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</si>
  <si>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</si>
  <si>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</si>
  <si>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</si>
  <si>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</si>
  <si>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</si>
  <si>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</si>
  <si>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</si>
  <si>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</si>
  <si>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</si>
  <si>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</si>
  <si>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</si>
  <si>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</si>
  <si>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</si>
  <si>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</si>
  <si>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</si>
  <si>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</si>
  <si>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</si>
  <si>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</si>
  <si>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</si>
  <si>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</si>
  <si>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</si>
  <si>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</si>
  <si>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</si>
  <si>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</si>
  <si>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</si>
  <si>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</si>
  <si>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</si>
  <si>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</si>
  <si>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</si>
  <si>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</si>
  <si>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</si>
  <si>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</si>
  <si>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</si>
  <si>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</si>
  <si>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</si>
  <si>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</si>
  <si>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</si>
  <si>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</si>
  <si>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</si>
  <si>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</si>
  <si>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</si>
  <si>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</si>
  <si>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</si>
  <si>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</si>
  <si>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Комфортные условия обучения и воспитания в общеобразовательных учреждениях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</si>
  <si>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</si>
  <si>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</si>
  <si>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</si>
  <si>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</si>
  <si>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</si>
  <si>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</si>
  <si>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</si>
  <si>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</si>
  <si>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Управление образования администрации МО «Холмский городской округ» Управление культуры МО "Холмский городской округ"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</si>
  <si>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</si>
  <si>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Управление образования администрации МО «Холмский городской округ» Муниципальное казенное учреждение «Служба единого заказчика»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</si>
  <si>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</si>
  <si>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</si>
  <si>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</si>
  <si>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</si>
  <si>
    <t>1.2.6.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</si>
  <si>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ул.Победы,12; ремонт пожарной сигнализации, ремонт карниза, ремонт перекрытия 2 этажа, ремонт покрытия полов</t>
  </si>
  <si>
    <t>Укрепление материально – технической базы образовательных учреждений. Капитальный ремонт фасада здания  МАОУ СОШ № 9 г.Холмска. Капитальный ремонт входных групп здания МАОУ СОШ № 9 г.Холмска.Благоустройство территории МАОУ СОШ № 9 г.Холмска</t>
  </si>
  <si>
    <t>Мероприятие 7. Льготный провоз школьников в пассажирском транспорте</t>
  </si>
  <si>
    <t>7.1.</t>
  </si>
  <si>
    <t>2019 -2022</t>
  </si>
  <si>
    <t>Обеспечение доступности общего образования. Создание в 2022 году 400 мест для школьников.</t>
  </si>
  <si>
    <t>2015-2021</t>
  </si>
  <si>
    <t>2016 -2018</t>
  </si>
  <si>
    <t>2015-2025</t>
  </si>
  <si>
    <t>2016-2021</t>
  </si>
  <si>
    <t>2015 -2021</t>
  </si>
  <si>
    <t>2015 -2025</t>
  </si>
  <si>
    <t>2017 -2025</t>
  </si>
  <si>
    <t>2015 - 2025</t>
  </si>
  <si>
    <t>2016-2025</t>
  </si>
  <si>
    <t>2016 - 2021</t>
  </si>
  <si>
    <t>Ограждение участка административного здания по адресу: ул.Советская 68-А</t>
  </si>
  <si>
    <r>
      <t>2.3.</t>
    </r>
    <r>
      <rPr>
        <b/>
        <sz val="11"/>
        <color indexed="8"/>
        <rFont val="Times New Roman"/>
        <family val="1"/>
        <charset val="204"/>
      </rPr>
      <t xml:space="preserve"> Обеспечение безопасности организаций дополнительного образования детей</t>
    </r>
  </si>
  <si>
    <t>Мероприятия по обеспечению антитеррористической безопасности организаций дополнительного образования (оборудование системами видеонаблюдения, установка и ремонт ограждений и наружного освещения территорий, установка системы контроля и управления доступом)</t>
  </si>
  <si>
    <t>2019 - 2021</t>
  </si>
  <si>
    <t>Комфортные и безопасные условия обучения и воспитания в организациях дополнительного образования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</si>
  <si>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ограждений, установка системы контроля и управления доступом)</t>
  </si>
  <si>
    <t>Установка систем видеонаблюдения, кнопок экстренного вызова полиции, СКУД, позволит обеспечить антитеррористическую безопасность в дошкольных образовательных организациях</t>
  </si>
  <si>
    <t>2015 - 2021</t>
  </si>
  <si>
    <t>2017 - 2025</t>
  </si>
  <si>
    <t>Мероприятия по обеспечению антитеррористической безопасности образовательных организаций (оборудование системами видеонаблюдения, установка и ремонт ограждений, установка системы контроля и управления доступом)</t>
  </si>
  <si>
    <t>Аттестация педагогических работников муниципальных образовательных организаций</t>
  </si>
  <si>
    <t>Школа в г. Холмске</t>
  </si>
  <si>
    <t xml:space="preserve"> «Холмский городской округ» на 2015-2025 годы»</t>
  </si>
  <si>
    <t xml:space="preserve">к муниципальной программе «Развитие образования в муниципальном образовании «Холмский городской округ» на 2015-2025 годы» </t>
  </si>
  <si>
    <t>проыерить мб 2023 год не идет на 2,8</t>
  </si>
  <si>
    <t>ДОУ 2 благоустройство</t>
  </si>
  <si>
    <t>Золушка благоустройство</t>
  </si>
  <si>
    <t>ДОУ 4 капремонт</t>
  </si>
  <si>
    <t>Лицей капремонт</t>
  </si>
  <si>
    <t>Подпрограмма 2</t>
  </si>
  <si>
    <t>обл</t>
  </si>
  <si>
    <t>мб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</si>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</sst>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9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7" xfId="0" applyFont="1" applyFill="1" applyBorder="1" applyAlignment="1">
      <alignment horizontal="justify" vertical="top" wrapText="1"/>
    </xf>
    <xf numFmtId="164" fontId="8" fillId="0" borderId="37" xfId="0" applyNumberFormat="1" applyFont="1" applyFill="1" applyBorder="1" applyAlignment="1">
      <alignment horizontal="justify" vertical="top" wrapText="1"/>
    </xf>
    <xf numFmtId="0" fontId="8" fillId="0" borderId="38" xfId="0" applyFont="1" applyFill="1" applyBorder="1" applyAlignment="1">
      <alignment horizontal="justify" vertical="top" wrapText="1"/>
    </xf>
    <xf numFmtId="0" fontId="16" fillId="0" borderId="37" xfId="0" applyFont="1" applyFill="1" applyBorder="1" applyAlignment="1">
      <alignment horizontal="justify" vertical="top" wrapText="1"/>
    </xf>
    <xf numFmtId="164" fontId="11" fillId="0" borderId="37" xfId="0" applyNumberFormat="1" applyFont="1" applyFill="1" applyBorder="1" applyAlignment="1">
      <alignment horizontal="justify" vertical="top" wrapText="1"/>
    </xf>
    <xf numFmtId="0" fontId="11" fillId="0" borderId="38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7" xfId="0" applyNumberFormat="1" applyFont="1" applyFill="1" applyBorder="1"/>
    <xf numFmtId="0" fontId="2" fillId="0" borderId="38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right" vertical="top" wrapText="1"/>
    </xf>
    <xf numFmtId="164" fontId="7" fillId="0" borderId="37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0" fontId="11" fillId="0" borderId="37" xfId="0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wrapText="1"/>
    </xf>
    <xf numFmtId="0" fontId="8" fillId="0" borderId="45" xfId="0" applyFont="1" applyFill="1" applyBorder="1" applyAlignment="1"/>
    <xf numFmtId="164" fontId="7" fillId="0" borderId="45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37" xfId="0" applyFill="1" applyBorder="1"/>
    <xf numFmtId="164" fontId="7" fillId="0" borderId="37" xfId="0" applyNumberFormat="1" applyFont="1" applyFill="1" applyBorder="1"/>
    <xf numFmtId="164" fontId="12" fillId="0" borderId="37" xfId="0" applyNumberFormat="1" applyFont="1" applyFill="1" applyBorder="1"/>
    <xf numFmtId="0" fontId="0" fillId="0" borderId="38" xfId="0" applyFill="1" applyBorder="1"/>
    <xf numFmtId="164" fontId="7" fillId="0" borderId="16" xfId="0" applyNumberFormat="1" applyFont="1" applyFill="1" applyBorder="1" applyAlignment="1">
      <alignment horizontal="justify" vertical="top" wrapText="1"/>
    </xf>
    <xf numFmtId="164" fontId="8" fillId="0" borderId="16" xfId="0" applyNumberFormat="1" applyFont="1" applyFill="1" applyBorder="1" applyAlignment="1">
      <alignment horizontal="justify" vertical="top" wrapText="1"/>
    </xf>
    <xf numFmtId="0" fontId="14" fillId="0" borderId="37" xfId="0" applyFont="1" applyFill="1" applyBorder="1" applyAlignment="1">
      <alignment horizontal="justify" vertical="top" wrapText="1"/>
    </xf>
    <xf numFmtId="164" fontId="14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wrapText="1"/>
    </xf>
    <xf numFmtId="164" fontId="7" fillId="0" borderId="27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4" xfId="0" applyFont="1" applyFill="1" applyBorder="1"/>
    <xf numFmtId="164" fontId="7" fillId="0" borderId="15" xfId="0" applyNumberFormat="1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justify" vertical="top" wrapText="1"/>
    </xf>
    <xf numFmtId="164" fontId="3" fillId="0" borderId="19" xfId="0" applyNumberFormat="1" applyFont="1" applyFill="1" applyBorder="1" applyAlignment="1"/>
    <xf numFmtId="0" fontId="14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8" fillId="0" borderId="37" xfId="0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0" fontId="14" fillId="0" borderId="29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horizontal="right" vertical="top" wrapText="1"/>
    </xf>
    <xf numFmtId="0" fontId="14" fillId="0" borderId="43" xfId="0" applyFont="1" applyFill="1" applyBorder="1" applyAlignment="1">
      <alignment horizontal="justify" vertical="center" wrapText="1"/>
    </xf>
    <xf numFmtId="0" fontId="21" fillId="0" borderId="43" xfId="0" applyFont="1" applyFill="1" applyBorder="1" applyAlignment="1">
      <alignment horizontal="justify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53" xfId="0" applyFont="1" applyFill="1" applyBorder="1"/>
    <xf numFmtId="0" fontId="14" fillId="0" borderId="45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0" fillId="0" borderId="2" xfId="0" applyFill="1" applyBorder="1" applyAlignment="1"/>
    <xf numFmtId="0" fontId="3" fillId="0" borderId="2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/>
    <xf numFmtId="164" fontId="0" fillId="2" borderId="0" xfId="0" applyNumberFormat="1" applyFill="1"/>
    <xf numFmtId="0" fontId="33" fillId="2" borderId="0" xfId="0" applyFont="1" applyFill="1"/>
    <xf numFmtId="4" fontId="0" fillId="0" borderId="0" xfId="0" applyNumberFormat="1"/>
    <xf numFmtId="4" fontId="0" fillId="2" borderId="0" xfId="0" applyNumberFormat="1" applyFill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4" fillId="0" borderId="3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0" fontId="14" fillId="0" borderId="32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8" xfId="0" applyFont="1" applyFill="1" applyBorder="1" applyAlignment="1">
      <alignment horizontal="justify" wrapText="1"/>
    </xf>
    <xf numFmtId="0" fontId="3" fillId="0" borderId="16" xfId="0" applyFont="1" applyFill="1" applyBorder="1" applyAlignment="1">
      <alignment horizontal="justify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49" fontId="3" fillId="0" borderId="2" xfId="0" applyNumberFormat="1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49" fontId="3" fillId="0" borderId="19" xfId="0" applyNumberFormat="1" applyFont="1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19" fillId="0" borderId="25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0" fontId="2" fillId="0" borderId="3" xfId="0" applyFont="1" applyFill="1" applyBorder="1" applyAlignment="1">
      <alignment horizontal="justify" vertical="center" wrapText="1"/>
    </xf>
    <xf numFmtId="0" fontId="0" fillId="0" borderId="16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2" xfId="0" applyFont="1" applyFill="1" applyBorder="1" applyAlignment="1"/>
    <xf numFmtId="0" fontId="0" fillId="0" borderId="3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7" fillId="0" borderId="32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7" fillId="0" borderId="3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9" fillId="0" borderId="16" xfId="0" applyFont="1" applyFill="1" applyBorder="1" applyAlignment="1">
      <alignment horizontal="justify" vertical="top"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0" fillId="0" borderId="17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7" fillId="0" borderId="31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0" fontId="3" fillId="0" borderId="18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0" fillId="0" borderId="13" xfId="0" applyFill="1" applyBorder="1" applyAlignment="1"/>
    <xf numFmtId="0" fontId="7" fillId="0" borderId="36" xfId="0" applyFont="1" applyFill="1" applyBorder="1" applyAlignment="1">
      <alignment horizontal="justify" vertical="top" wrapText="1"/>
    </xf>
    <xf numFmtId="0" fontId="9" fillId="0" borderId="37" xfId="0" applyFont="1" applyFill="1" applyBorder="1" applyAlignment="1">
      <alignment horizontal="justify" vertical="top" wrapText="1"/>
    </xf>
    <xf numFmtId="49" fontId="0" fillId="0" borderId="13" xfId="0" applyNumberForma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22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wrapText="1"/>
    </xf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/>
    <xf numFmtId="49" fontId="10" fillId="0" borderId="19" xfId="0" applyNumberFormat="1" applyFont="1" applyFill="1" applyBorder="1" applyAlignment="1">
      <alignment horizontal="justify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36" xfId="0" applyFont="1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2" xfId="0" applyFill="1" applyBorder="1" applyAlignment="1">
      <alignment horizontal="justify" wrapText="1"/>
    </xf>
    <xf numFmtId="0" fontId="2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justify" vertical="top" wrapText="1"/>
    </xf>
    <xf numFmtId="0" fontId="7" fillId="0" borderId="3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40" xfId="0" applyFont="1" applyFill="1" applyBorder="1" applyAlignment="1">
      <alignment horizontal="left" wrapText="1"/>
    </xf>
    <xf numFmtId="0" fontId="3" fillId="0" borderId="48" xfId="0" applyFont="1" applyFill="1" applyBorder="1" applyAlignment="1"/>
    <xf numFmtId="0" fontId="3" fillId="0" borderId="57" xfId="0" applyFont="1" applyFill="1" applyBorder="1" applyAlignment="1"/>
    <xf numFmtId="0" fontId="3" fillId="0" borderId="58" xfId="0" applyFont="1" applyFill="1" applyBorder="1" applyAlignment="1"/>
    <xf numFmtId="0" fontId="3" fillId="0" borderId="49" xfId="0" applyFont="1" applyFill="1" applyBorder="1" applyAlignment="1"/>
    <xf numFmtId="0" fontId="7" fillId="0" borderId="19" xfId="0" applyFont="1" applyFill="1" applyBorder="1" applyAlignment="1">
      <alignment horizontal="justify" wrapText="1"/>
    </xf>
    <xf numFmtId="0" fontId="0" fillId="0" borderId="28" xfId="0" applyFill="1" applyBorder="1" applyAlignment="1">
      <alignment horizontal="justify" wrapText="1"/>
    </xf>
    <xf numFmtId="0" fontId="0" fillId="0" borderId="29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36" fillId="0" borderId="3" xfId="0" applyFont="1" applyFill="1" applyBorder="1" applyAlignment="1">
      <alignment horizontal="center" vertical="top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7" fillId="0" borderId="50" xfId="0" applyFont="1" applyFill="1" applyBorder="1" applyAlignment="1">
      <alignment horizontal="justify" wrapText="1"/>
    </xf>
    <xf numFmtId="0" fontId="0" fillId="0" borderId="51" xfId="0" applyFill="1" applyBorder="1" applyAlignment="1">
      <alignment horizontal="justify" wrapText="1"/>
    </xf>
    <xf numFmtId="0" fontId="0" fillId="0" borderId="52" xfId="0" applyFill="1" applyBorder="1" applyAlignment="1">
      <alignment horizontal="justify" wrapText="1"/>
    </xf>
    <xf numFmtId="0" fontId="7" fillId="0" borderId="54" xfId="0" applyFont="1" applyFill="1" applyBorder="1" applyAlignment="1">
      <alignment horizontal="justify" vertical="top" wrapText="1"/>
    </xf>
    <xf numFmtId="0" fontId="0" fillId="0" borderId="55" xfId="0" applyFill="1" applyBorder="1" applyAlignment="1">
      <alignment horizontal="justify" vertical="top" wrapText="1"/>
    </xf>
    <xf numFmtId="0" fontId="0" fillId="0" borderId="56" xfId="0" applyFill="1" applyBorder="1" applyAlignment="1">
      <alignment horizontal="justify" vertical="top" wrapText="1"/>
    </xf>
    <xf numFmtId="0" fontId="25" fillId="0" borderId="2" xfId="0" applyFont="1" applyFill="1" applyBorder="1" applyAlignment="1">
      <alignment vertical="top" wrapText="1"/>
    </xf>
    <xf numFmtId="0" fontId="25" fillId="0" borderId="19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3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/>
    <xf numFmtId="0" fontId="19" fillId="0" borderId="2" xfId="0" applyFont="1" applyFill="1" applyBorder="1" applyAlignment="1">
      <alignment horizontal="justify" wrapText="1"/>
    </xf>
    <xf numFmtId="0" fontId="19" fillId="0" borderId="2" xfId="0" applyFont="1" applyFill="1" applyBorder="1" applyAlignment="1">
      <alignment wrapText="1"/>
    </xf>
    <xf numFmtId="0" fontId="7" fillId="0" borderId="42" xfId="0" applyFont="1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top" wrapText="1"/>
    </xf>
    <xf numFmtId="0" fontId="23" fillId="0" borderId="2" xfId="0" applyFont="1" applyFill="1" applyBorder="1" applyAlignment="1">
      <alignment wrapText="1"/>
    </xf>
    <xf numFmtId="0" fontId="23" fillId="0" borderId="3" xfId="0" applyFont="1" applyFill="1" applyBorder="1" applyAlignment="1">
      <alignment wrapText="1"/>
    </xf>
    <xf numFmtId="0" fontId="7" fillId="0" borderId="32" xfId="0" applyFont="1" applyFill="1" applyBorder="1" applyAlignment="1">
      <alignment horizontal="justify" wrapText="1"/>
    </xf>
    <xf numFmtId="0" fontId="9" fillId="0" borderId="11" xfId="0" applyFont="1" applyFill="1" applyBorder="1" applyAlignment="1">
      <alignment horizontal="justify" wrapText="1"/>
    </xf>
    <xf numFmtId="0" fontId="9" fillId="0" borderId="40" xfId="0" applyFont="1" applyFill="1" applyBorder="1" applyAlignment="1">
      <alignment horizontal="justify" wrapText="1"/>
    </xf>
    <xf numFmtId="0" fontId="3" fillId="0" borderId="41" xfId="0" applyFont="1" applyFill="1" applyBorder="1" applyAlignment="1">
      <alignment horizontal="justify" vertical="top" wrapText="1"/>
    </xf>
    <xf numFmtId="0" fontId="1" fillId="0" borderId="11" xfId="0" applyFont="1" applyFill="1" applyBorder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0" fontId="0" fillId="0" borderId="16" xfId="0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4" xfId="0" applyFont="1" applyFill="1" applyBorder="1" applyAlignment="1">
      <alignment horizontal="justify" wrapText="1"/>
    </xf>
    <xf numFmtId="0" fontId="9" fillId="0" borderId="35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7" fillId="0" borderId="16" xfId="0" applyFont="1" applyFill="1" applyBorder="1" applyAlignment="1"/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/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3" fillId="0" borderId="2" xfId="0" applyFont="1" applyFill="1" applyBorder="1" applyAlignment="1"/>
    <xf numFmtId="0" fontId="3" fillId="0" borderId="16" xfId="0" applyFont="1" applyFill="1" applyBorder="1" applyAlignment="1"/>
    <xf numFmtId="0" fontId="19" fillId="0" borderId="3" xfId="0" applyFont="1" applyFill="1" applyBorder="1" applyAlignment="1">
      <alignment horizontal="justify" wrapText="1"/>
    </xf>
    <xf numFmtId="49" fontId="8" fillId="0" borderId="2" xfId="0" applyNumberFormat="1" applyFont="1" applyFill="1" applyBorder="1" applyAlignment="1"/>
    <xf numFmtId="0" fontId="36" fillId="0" borderId="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justify" vertical="top" wrapText="1"/>
    </xf>
    <xf numFmtId="0" fontId="28" fillId="0" borderId="37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0" fontId="36" fillId="0" borderId="1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22" fillId="0" borderId="16" xfId="0" applyFont="1" applyFill="1" applyBorder="1" applyAlignment="1"/>
    <xf numFmtId="0" fontId="2" fillId="0" borderId="3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02"/>
  <sheetViews>
    <sheetView tabSelected="1" view="pageBreakPreview" topLeftCell="A930" zoomScaleNormal="100" zoomScaleSheetLayoutView="100" workbookViewId="0">
      <selection activeCell="F939" sqref="F939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3.42578125" style="4" customWidth="1"/>
    <col min="7" max="7" width="11.140625" style="4" customWidth="1"/>
    <col min="8" max="8" width="13.1406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10.7109375" style="4" bestFit="1" customWidth="1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 x14ac:dyDescent="0.2">
      <c r="H1" s="492" t="s">
        <v>229</v>
      </c>
      <c r="I1" s="492"/>
      <c r="J1" s="492"/>
      <c r="K1" s="492"/>
    </row>
    <row r="2" spans="1:26" ht="24" customHeight="1" x14ac:dyDescent="0.2">
      <c r="H2" s="493" t="s">
        <v>426</v>
      </c>
      <c r="I2" s="494"/>
      <c r="J2" s="494"/>
      <c r="K2" s="494"/>
    </row>
    <row r="3" spans="1:26" ht="15.75" customHeight="1" x14ac:dyDescent="0.2">
      <c r="C3" s="214"/>
      <c r="F3" s="214"/>
      <c r="G3" s="214"/>
      <c r="H3" s="214"/>
    </row>
    <row r="4" spans="1:26" ht="15.75" x14ac:dyDescent="0.25">
      <c r="C4" s="23"/>
    </row>
    <row r="5" spans="1:26" ht="12.75" customHeight="1" x14ac:dyDescent="0.25">
      <c r="A5" s="499" t="s">
        <v>114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</row>
    <row r="6" spans="1:26" ht="12.75" customHeight="1" x14ac:dyDescent="0.25">
      <c r="A6" s="499" t="s">
        <v>115</v>
      </c>
      <c r="B6" s="499"/>
      <c r="C6" s="499"/>
      <c r="D6" s="499"/>
      <c r="E6" s="499"/>
      <c r="F6" s="499"/>
      <c r="G6" s="499"/>
      <c r="H6" s="499"/>
      <c r="I6" s="499"/>
      <c r="J6" s="499"/>
      <c r="K6" s="499"/>
    </row>
    <row r="7" spans="1:26" ht="12.75" customHeight="1" x14ac:dyDescent="0.25">
      <c r="A7" s="499" t="s">
        <v>425</v>
      </c>
      <c r="B7" s="499"/>
      <c r="C7" s="499"/>
      <c r="D7" s="499"/>
      <c r="E7" s="499"/>
      <c r="F7" s="499"/>
      <c r="G7" s="499"/>
      <c r="H7" s="499"/>
      <c r="I7" s="499"/>
      <c r="J7" s="499"/>
      <c r="K7" s="499"/>
    </row>
    <row r="10" spans="1:26" ht="18" customHeight="1" x14ac:dyDescent="0.25">
      <c r="A10" s="495" t="s">
        <v>2</v>
      </c>
      <c r="B10" s="495" t="s">
        <v>3</v>
      </c>
      <c r="C10" s="495" t="s">
        <v>4</v>
      </c>
      <c r="D10" s="495" t="s">
        <v>5</v>
      </c>
      <c r="E10" s="495" t="s">
        <v>6</v>
      </c>
      <c r="F10" s="495" t="s">
        <v>7</v>
      </c>
      <c r="G10" s="495"/>
      <c r="H10" s="495"/>
      <c r="I10" s="495"/>
      <c r="J10" s="495"/>
      <c r="K10" s="495" t="s">
        <v>8</v>
      </c>
    </row>
    <row r="11" spans="1:26" ht="45" x14ac:dyDescent="0.25">
      <c r="A11" s="495"/>
      <c r="B11" s="495"/>
      <c r="C11" s="495"/>
      <c r="D11" s="495"/>
      <c r="E11" s="495"/>
      <c r="F11" s="215" t="s">
        <v>9</v>
      </c>
      <c r="G11" s="215" t="s">
        <v>10</v>
      </c>
      <c r="H11" s="215" t="s">
        <v>11</v>
      </c>
      <c r="I11" s="215" t="s">
        <v>12</v>
      </c>
      <c r="J11" s="215" t="s">
        <v>13</v>
      </c>
      <c r="K11" s="495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497" t="s">
        <v>14</v>
      </c>
      <c r="B13" s="498"/>
      <c r="C13" s="498"/>
      <c r="D13" s="498"/>
      <c r="E13" s="498"/>
      <c r="F13" s="498"/>
      <c r="G13" s="498"/>
      <c r="H13" s="498"/>
      <c r="I13" s="498"/>
      <c r="J13" s="498"/>
      <c r="K13" s="498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x14ac:dyDescent="0.25">
      <c r="A14" s="496" t="s">
        <v>15</v>
      </c>
      <c r="B14" s="496"/>
      <c r="C14" s="496"/>
      <c r="D14" s="496"/>
      <c r="E14" s="496"/>
      <c r="F14" s="496"/>
      <c r="G14" s="496"/>
      <c r="H14" s="496"/>
      <c r="I14" s="496"/>
      <c r="J14" s="496"/>
      <c r="K14" s="496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2.25" customHeight="1" x14ac:dyDescent="0.2">
      <c r="A15" s="381" t="s">
        <v>221</v>
      </c>
      <c r="B15" s="335"/>
      <c r="C15" s="335"/>
      <c r="D15" s="344"/>
      <c r="E15" s="344"/>
      <c r="F15" s="344"/>
      <c r="G15" s="344"/>
      <c r="H15" s="344"/>
      <c r="I15" s="344"/>
      <c r="J15" s="344"/>
      <c r="K15" s="344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</row>
    <row r="16" spans="1:26" ht="15" x14ac:dyDescent="0.25">
      <c r="A16" s="309" t="s">
        <v>16</v>
      </c>
      <c r="B16" s="278" t="s">
        <v>17</v>
      </c>
      <c r="C16" s="242">
        <v>2015</v>
      </c>
      <c r="D16" s="306" t="s">
        <v>395</v>
      </c>
      <c r="E16" s="212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36" t="s">
        <v>112</v>
      </c>
    </row>
    <row r="17" spans="1:26" ht="75.75" customHeight="1" x14ac:dyDescent="0.2">
      <c r="A17" s="309"/>
      <c r="B17" s="280"/>
      <c r="C17" s="243"/>
      <c r="D17" s="308"/>
      <c r="E17" s="18" t="s">
        <v>18</v>
      </c>
      <c r="F17" s="8">
        <f>SUM(F16:F16)</f>
        <v>123364</v>
      </c>
      <c r="G17" s="8">
        <f>SUM(G16:G16)</f>
        <v>0</v>
      </c>
      <c r="H17" s="8">
        <f>SUM(H16:H16)</f>
        <v>118986.5</v>
      </c>
      <c r="I17" s="8">
        <f>SUM(I16:I16)</f>
        <v>4377.5</v>
      </c>
      <c r="J17" s="8"/>
      <c r="K17" s="237"/>
    </row>
    <row r="18" spans="1:26" ht="15" x14ac:dyDescent="0.25">
      <c r="A18" s="309" t="s">
        <v>19</v>
      </c>
      <c r="B18" s="278" t="s">
        <v>125</v>
      </c>
      <c r="C18" s="242">
        <v>2015</v>
      </c>
      <c r="D18" s="306" t="s">
        <v>395</v>
      </c>
      <c r="E18" s="212">
        <v>2015</v>
      </c>
      <c r="F18" s="7">
        <f>SUM(G18:I18)</f>
        <v>5858.9</v>
      </c>
      <c r="G18" s="7"/>
      <c r="H18" s="7">
        <f>104685.7-104685.7</f>
        <v>0</v>
      </c>
      <c r="I18" s="7">
        <v>5858.9</v>
      </c>
      <c r="J18" s="7"/>
      <c r="K18" s="236" t="s">
        <v>113</v>
      </c>
    </row>
    <row r="19" spans="1:26" ht="76.5" customHeight="1" x14ac:dyDescent="0.25">
      <c r="A19" s="490"/>
      <c r="B19" s="280"/>
      <c r="C19" s="243"/>
      <c r="D19" s="308"/>
      <c r="E19" s="26" t="s">
        <v>18</v>
      </c>
      <c r="F19" s="9">
        <f>SUM(F18:F18)</f>
        <v>5858.9</v>
      </c>
      <c r="G19" s="10">
        <f>SUM(G18:G18)</f>
        <v>0</v>
      </c>
      <c r="H19" s="10">
        <f>SUM(H18:H18)</f>
        <v>0</v>
      </c>
      <c r="I19" s="10">
        <f>SUM(I18:I18)</f>
        <v>5858.9</v>
      </c>
      <c r="J19" s="10"/>
      <c r="K19" s="237"/>
    </row>
    <row r="20" spans="1:26" ht="14.25" x14ac:dyDescent="0.2">
      <c r="A20" s="247" t="s">
        <v>20</v>
      </c>
      <c r="B20" s="367"/>
      <c r="C20" s="367"/>
      <c r="D20" s="367"/>
      <c r="E20" s="210"/>
      <c r="F20" s="11">
        <f>F17+F19</f>
        <v>129222.9</v>
      </c>
      <c r="G20" s="11">
        <f>G17+G19</f>
        <v>0</v>
      </c>
      <c r="H20" s="11">
        <f>H17+H19</f>
        <v>118986.5</v>
      </c>
      <c r="I20" s="11">
        <f>I17+I19</f>
        <v>10236.4</v>
      </c>
      <c r="J20" s="11">
        <f>J17+J19</f>
        <v>0</v>
      </c>
      <c r="K20" s="210"/>
      <c r="L20" s="489"/>
      <c r="M20" s="489"/>
      <c r="N20" s="489"/>
      <c r="O20" s="489"/>
      <c r="P20" s="489"/>
      <c r="Q20" s="489"/>
      <c r="R20" s="489"/>
      <c r="S20" s="489"/>
      <c r="T20" s="489"/>
      <c r="U20" s="489"/>
      <c r="V20" s="489"/>
      <c r="W20" s="489"/>
      <c r="X20" s="489"/>
      <c r="Y20" s="489"/>
      <c r="Z20" s="489"/>
    </row>
    <row r="21" spans="1:26" ht="14.25" x14ac:dyDescent="0.2">
      <c r="A21" s="381" t="s">
        <v>222</v>
      </c>
      <c r="B21" s="344"/>
      <c r="C21" s="344"/>
      <c r="D21" s="344"/>
      <c r="E21" s="344"/>
      <c r="F21" s="344"/>
      <c r="G21" s="344"/>
      <c r="H21" s="344"/>
      <c r="I21" s="344"/>
      <c r="J21" s="344"/>
      <c r="K21" s="344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</row>
    <row r="22" spans="1:26" ht="12.75" customHeight="1" x14ac:dyDescent="0.2">
      <c r="A22" s="276" t="s">
        <v>60</v>
      </c>
      <c r="B22" s="278" t="s">
        <v>117</v>
      </c>
      <c r="C22" s="242" t="s">
        <v>124</v>
      </c>
      <c r="D22" s="277" t="s">
        <v>209</v>
      </c>
      <c r="E22" s="212">
        <v>2015</v>
      </c>
      <c r="F22" s="2"/>
      <c r="G22" s="2"/>
      <c r="H22" s="2"/>
      <c r="I22" s="2"/>
      <c r="J22" s="2"/>
      <c r="K22" s="491" t="s">
        <v>111</v>
      </c>
    </row>
    <row r="23" spans="1:26" x14ac:dyDescent="0.2">
      <c r="A23" s="276"/>
      <c r="B23" s="241"/>
      <c r="C23" s="243"/>
      <c r="D23" s="277"/>
      <c r="E23" s="212">
        <v>2016</v>
      </c>
      <c r="F23" s="2"/>
      <c r="G23" s="2"/>
      <c r="H23" s="2"/>
      <c r="I23" s="2"/>
      <c r="J23" s="2"/>
      <c r="K23" s="491"/>
    </row>
    <row r="24" spans="1:26" x14ac:dyDescent="0.2">
      <c r="A24" s="276"/>
      <c r="B24" s="241"/>
      <c r="C24" s="243"/>
      <c r="D24" s="277"/>
      <c r="E24" s="212">
        <v>2017</v>
      </c>
      <c r="F24" s="2"/>
      <c r="G24" s="2"/>
      <c r="H24" s="2"/>
      <c r="I24" s="2"/>
      <c r="J24" s="2"/>
      <c r="K24" s="491"/>
      <c r="L24" s="99"/>
    </row>
    <row r="25" spans="1:26" x14ac:dyDescent="0.2">
      <c r="A25" s="276"/>
      <c r="B25" s="241"/>
      <c r="C25" s="243"/>
      <c r="D25" s="277"/>
      <c r="E25" s="212">
        <v>2018</v>
      </c>
      <c r="F25" s="2"/>
      <c r="G25" s="2"/>
      <c r="H25" s="2"/>
      <c r="I25" s="2"/>
      <c r="J25" s="2"/>
      <c r="K25" s="491"/>
    </row>
    <row r="26" spans="1:26" x14ac:dyDescent="0.2">
      <c r="A26" s="276"/>
      <c r="B26" s="241"/>
      <c r="C26" s="243"/>
      <c r="D26" s="277"/>
      <c r="E26" s="212">
        <v>2019</v>
      </c>
      <c r="F26" s="2"/>
      <c r="G26" s="2"/>
      <c r="H26" s="2"/>
      <c r="I26" s="2"/>
      <c r="J26" s="2"/>
      <c r="K26" s="491"/>
    </row>
    <row r="27" spans="1:26" x14ac:dyDescent="0.2">
      <c r="A27" s="276"/>
      <c r="B27" s="241"/>
      <c r="C27" s="243"/>
      <c r="D27" s="277"/>
      <c r="E27" s="212">
        <v>2020</v>
      </c>
      <c r="F27" s="2"/>
      <c r="G27" s="2"/>
      <c r="H27" s="2"/>
      <c r="I27" s="2"/>
      <c r="J27" s="2"/>
      <c r="K27" s="491"/>
    </row>
    <row r="28" spans="1:26" ht="60" customHeight="1" x14ac:dyDescent="0.2">
      <c r="A28" s="276"/>
      <c r="B28" s="241"/>
      <c r="C28" s="243"/>
      <c r="D28" s="277"/>
      <c r="E28" s="18" t="s">
        <v>18</v>
      </c>
      <c r="F28" s="2"/>
      <c r="G28" s="2"/>
      <c r="H28" s="2"/>
      <c r="I28" s="2"/>
      <c r="J28" s="2"/>
      <c r="K28" s="491"/>
    </row>
    <row r="29" spans="1:26" ht="12.75" customHeight="1" x14ac:dyDescent="0.25">
      <c r="A29" s="276" t="s">
        <v>232</v>
      </c>
      <c r="B29" s="278" t="s">
        <v>118</v>
      </c>
      <c r="C29" s="242" t="s">
        <v>403</v>
      </c>
      <c r="D29" s="277" t="s">
        <v>391</v>
      </c>
      <c r="E29" s="212">
        <v>2015</v>
      </c>
      <c r="F29" s="7">
        <f>H29+I29</f>
        <v>505</v>
      </c>
      <c r="G29" s="7"/>
      <c r="H29" s="7">
        <v>500</v>
      </c>
      <c r="I29" s="7">
        <v>5</v>
      </c>
      <c r="J29" s="14"/>
      <c r="K29" s="491"/>
    </row>
    <row r="30" spans="1:26" x14ac:dyDescent="0.2">
      <c r="A30" s="276"/>
      <c r="B30" s="279"/>
      <c r="C30" s="243"/>
      <c r="D30" s="277"/>
      <c r="E30" s="212">
        <v>2016</v>
      </c>
      <c r="F30" s="14">
        <f t="shared" ref="F30:F35" si="0">SUM(G30:J30)</f>
        <v>0</v>
      </c>
      <c r="G30" s="14"/>
      <c r="H30" s="14">
        <v>0</v>
      </c>
      <c r="I30" s="14">
        <v>0</v>
      </c>
      <c r="J30" s="14"/>
      <c r="K30" s="491"/>
      <c r="L30" s="99"/>
    </row>
    <row r="31" spans="1:26" x14ac:dyDescent="0.2">
      <c r="A31" s="276"/>
      <c r="B31" s="279"/>
      <c r="C31" s="243"/>
      <c r="D31" s="277"/>
      <c r="E31" s="212">
        <v>2017</v>
      </c>
      <c r="F31" s="14">
        <f t="shared" si="0"/>
        <v>0</v>
      </c>
      <c r="G31" s="14"/>
      <c r="H31" s="14">
        <v>0</v>
      </c>
      <c r="I31" s="14">
        <v>0</v>
      </c>
      <c r="J31" s="14"/>
      <c r="K31" s="491"/>
    </row>
    <row r="32" spans="1:26" ht="16.5" customHeight="1" x14ac:dyDescent="0.2">
      <c r="A32" s="276"/>
      <c r="B32" s="279"/>
      <c r="C32" s="243"/>
      <c r="D32" s="277"/>
      <c r="E32" s="212">
        <v>2018</v>
      </c>
      <c r="F32" s="14">
        <f t="shared" si="0"/>
        <v>0</v>
      </c>
      <c r="G32" s="14"/>
      <c r="H32" s="14">
        <f>20165.4-20165.4</f>
        <v>0</v>
      </c>
      <c r="I32" s="14">
        <f>1062-1062</f>
        <v>0</v>
      </c>
      <c r="J32" s="14"/>
      <c r="K32" s="491"/>
      <c r="L32" s="99"/>
    </row>
    <row r="33" spans="1:33" x14ac:dyDescent="0.2">
      <c r="A33" s="276"/>
      <c r="B33" s="279"/>
      <c r="C33" s="243"/>
      <c r="D33" s="277"/>
      <c r="E33" s="212">
        <v>2019</v>
      </c>
      <c r="F33" s="14">
        <f t="shared" si="0"/>
        <v>39841.1</v>
      </c>
      <c r="G33" s="14"/>
      <c r="H33" s="14">
        <f>33314.2+3854.9</f>
        <v>37169.1</v>
      </c>
      <c r="I33" s="14">
        <f>2246.5+425.5</f>
        <v>2672</v>
      </c>
      <c r="J33" s="14"/>
      <c r="K33" s="491"/>
    </row>
    <row r="34" spans="1:33" ht="15" customHeight="1" x14ac:dyDescent="0.2">
      <c r="A34" s="276"/>
      <c r="B34" s="279"/>
      <c r="C34" s="243"/>
      <c r="D34" s="277"/>
      <c r="E34" s="212">
        <v>2020</v>
      </c>
      <c r="F34" s="14">
        <f t="shared" si="0"/>
        <v>18853.800000000003</v>
      </c>
      <c r="G34" s="14"/>
      <c r="H34" s="14">
        <f>26550.9-7965.3</f>
        <v>18585.600000000002</v>
      </c>
      <c r="I34" s="14">
        <v>268.2</v>
      </c>
      <c r="J34" s="14"/>
      <c r="K34" s="491"/>
    </row>
    <row r="35" spans="1:33" ht="15" customHeight="1" x14ac:dyDescent="0.2">
      <c r="A35" s="276"/>
      <c r="B35" s="279"/>
      <c r="C35" s="243"/>
      <c r="D35" s="277"/>
      <c r="E35" s="224">
        <v>2021</v>
      </c>
      <c r="F35" s="14">
        <f t="shared" si="0"/>
        <v>20181</v>
      </c>
      <c r="G35" s="14"/>
      <c r="H35" s="14">
        <f>28419.8-8525.9</f>
        <v>19893.900000000001</v>
      </c>
      <c r="I35" s="14">
        <v>287.10000000000002</v>
      </c>
      <c r="J35" s="14"/>
      <c r="K35" s="491"/>
    </row>
    <row r="36" spans="1:33" ht="57" customHeight="1" x14ac:dyDescent="0.2">
      <c r="A36" s="276"/>
      <c r="B36" s="279"/>
      <c r="C36" s="243"/>
      <c r="D36" s="277"/>
      <c r="E36" s="18" t="s">
        <v>18</v>
      </c>
      <c r="F36" s="8">
        <f>SUM(F29:F35)</f>
        <v>79380.899999999994</v>
      </c>
      <c r="G36" s="8">
        <f>SUM(G29:G34)</f>
        <v>0</v>
      </c>
      <c r="H36" s="8">
        <f>SUM(H29:H35)</f>
        <v>76148.600000000006</v>
      </c>
      <c r="I36" s="8">
        <f>SUM(I29:I35)</f>
        <v>3232.2999999999997</v>
      </c>
      <c r="J36" s="14"/>
      <c r="K36" s="491"/>
    </row>
    <row r="37" spans="1:33" x14ac:dyDescent="0.2">
      <c r="A37" s="276" t="s">
        <v>234</v>
      </c>
      <c r="B37" s="278" t="s">
        <v>248</v>
      </c>
      <c r="C37" s="242" t="s">
        <v>404</v>
      </c>
      <c r="D37" s="277" t="s">
        <v>391</v>
      </c>
      <c r="E37" s="212">
        <v>2016</v>
      </c>
      <c r="F37" s="14">
        <f t="shared" ref="F37:F39" si="1">SUM(G37:I37)</f>
        <v>0</v>
      </c>
      <c r="G37" s="14"/>
      <c r="H37" s="14">
        <f>7375.9-7375.9</f>
        <v>0</v>
      </c>
      <c r="I37" s="14">
        <f>74.5-74.5</f>
        <v>0</v>
      </c>
      <c r="J37" s="14"/>
      <c r="K37" s="491"/>
      <c r="L37" s="99"/>
    </row>
    <row r="38" spans="1:33" ht="15" x14ac:dyDescent="0.25">
      <c r="A38" s="276"/>
      <c r="B38" s="278"/>
      <c r="C38" s="242"/>
      <c r="D38" s="277"/>
      <c r="E38" s="212">
        <v>2017</v>
      </c>
      <c r="F38" s="7">
        <f t="shared" si="1"/>
        <v>62.6</v>
      </c>
      <c r="G38" s="7"/>
      <c r="H38" s="7">
        <v>0</v>
      </c>
      <c r="I38" s="7">
        <v>62.6</v>
      </c>
      <c r="J38" s="14"/>
      <c r="K38" s="491"/>
      <c r="L38" s="99"/>
    </row>
    <row r="39" spans="1:33" ht="15" x14ac:dyDescent="0.25">
      <c r="A39" s="276"/>
      <c r="B39" s="278"/>
      <c r="C39" s="242"/>
      <c r="D39" s="277"/>
      <c r="E39" s="212">
        <v>2018</v>
      </c>
      <c r="F39" s="7">
        <f t="shared" si="1"/>
        <v>7450.5</v>
      </c>
      <c r="G39" s="7"/>
      <c r="H39" s="7">
        <v>7376</v>
      </c>
      <c r="I39" s="7">
        <v>74.5</v>
      </c>
      <c r="J39" s="14"/>
      <c r="K39" s="491"/>
      <c r="L39" s="99"/>
    </row>
    <row r="40" spans="1:33" ht="67.5" customHeight="1" x14ac:dyDescent="0.2">
      <c r="A40" s="276"/>
      <c r="B40" s="278"/>
      <c r="C40" s="242"/>
      <c r="D40" s="277"/>
      <c r="E40" s="18" t="s">
        <v>18</v>
      </c>
      <c r="F40" s="8">
        <f>SUM(F37:F39)</f>
        <v>7513.1</v>
      </c>
      <c r="G40" s="8">
        <f t="shared" ref="G40:I40" si="2">SUM(G37:G39)</f>
        <v>0</v>
      </c>
      <c r="H40" s="8">
        <f t="shared" si="2"/>
        <v>7376</v>
      </c>
      <c r="I40" s="8">
        <f t="shared" si="2"/>
        <v>137.1</v>
      </c>
      <c r="J40" s="14"/>
      <c r="K40" s="491"/>
      <c r="L40" s="99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</row>
    <row r="41" spans="1:33" ht="15" x14ac:dyDescent="0.25">
      <c r="A41" s="276" t="s">
        <v>265</v>
      </c>
      <c r="B41" s="278" t="s">
        <v>249</v>
      </c>
      <c r="C41" s="242" t="s">
        <v>404</v>
      </c>
      <c r="D41" s="277" t="s">
        <v>391</v>
      </c>
      <c r="E41" s="212">
        <v>2017</v>
      </c>
      <c r="F41" s="7">
        <f t="shared" ref="F41" si="3">SUM(G41:I41)</f>
        <v>2075</v>
      </c>
      <c r="G41" s="7"/>
      <c r="H41" s="7">
        <f>7425-5425</f>
        <v>2000</v>
      </c>
      <c r="I41" s="7">
        <v>75</v>
      </c>
      <c r="J41" s="14"/>
      <c r="K41" s="491"/>
      <c r="L41" s="99"/>
    </row>
    <row r="42" spans="1:33" ht="15" x14ac:dyDescent="0.25">
      <c r="A42" s="276"/>
      <c r="B42" s="278"/>
      <c r="C42" s="242"/>
      <c r="D42" s="277"/>
      <c r="E42" s="212">
        <v>2018</v>
      </c>
      <c r="F42" s="7">
        <f t="shared" ref="F42" si="4">SUM(G42:I42)</f>
        <v>7795.5</v>
      </c>
      <c r="G42" s="7"/>
      <c r="H42" s="7">
        <v>7717.5</v>
      </c>
      <c r="I42" s="7">
        <f>2285.5-2207.5</f>
        <v>78</v>
      </c>
      <c r="J42" s="14"/>
      <c r="K42" s="491"/>
      <c r="L42" s="99"/>
    </row>
    <row r="43" spans="1:33" ht="15" x14ac:dyDescent="0.25">
      <c r="A43" s="276"/>
      <c r="B43" s="278"/>
      <c r="C43" s="242"/>
      <c r="D43" s="277"/>
      <c r="E43" s="225">
        <v>2019</v>
      </c>
      <c r="F43" s="7">
        <f t="shared" ref="F43" si="5">SUM(G43:I43)</f>
        <v>0.8</v>
      </c>
      <c r="G43" s="7"/>
      <c r="H43" s="7">
        <v>0</v>
      </c>
      <c r="I43" s="7">
        <v>0.8</v>
      </c>
      <c r="J43" s="14"/>
      <c r="K43" s="491"/>
      <c r="L43" s="99"/>
    </row>
    <row r="44" spans="1:33" ht="117" customHeight="1" x14ac:dyDescent="0.2">
      <c r="A44" s="276"/>
      <c r="B44" s="278"/>
      <c r="C44" s="242"/>
      <c r="D44" s="277"/>
      <c r="E44" s="18" t="s">
        <v>18</v>
      </c>
      <c r="F44" s="8">
        <f>SUM(F41:F43)</f>
        <v>9871.2999999999993</v>
      </c>
      <c r="G44" s="8">
        <f>SUM(G41:G41)</f>
        <v>0</v>
      </c>
      <c r="H44" s="8">
        <f>SUM(H41:H43)</f>
        <v>9717.5</v>
      </c>
      <c r="I44" s="8">
        <f>SUM(I41:I43)</f>
        <v>153.80000000000001</v>
      </c>
      <c r="J44" s="14"/>
      <c r="K44" s="491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</row>
    <row r="45" spans="1:33" ht="15" x14ac:dyDescent="0.25">
      <c r="A45" s="276" t="s">
        <v>327</v>
      </c>
      <c r="B45" s="278" t="s">
        <v>390</v>
      </c>
      <c r="C45" s="242">
        <v>2017</v>
      </c>
      <c r="D45" s="277" t="s">
        <v>391</v>
      </c>
      <c r="E45" s="212">
        <v>2017</v>
      </c>
      <c r="F45" s="7">
        <f t="shared" ref="F45" si="6">SUM(G45:I45)</f>
        <v>1420.6</v>
      </c>
      <c r="G45" s="7"/>
      <c r="H45" s="7">
        <f>7375.9-7375.9</f>
        <v>0</v>
      </c>
      <c r="I45" s="7">
        <v>1420.6</v>
      </c>
      <c r="J45" s="14"/>
      <c r="K45" s="491"/>
      <c r="L45" s="99"/>
    </row>
    <row r="46" spans="1:33" ht="118.5" customHeight="1" x14ac:dyDescent="0.2">
      <c r="A46" s="276"/>
      <c r="B46" s="278"/>
      <c r="C46" s="242"/>
      <c r="D46" s="277"/>
      <c r="E46" s="18" t="s">
        <v>18</v>
      </c>
      <c r="F46" s="8">
        <f>SUM(F45:F45)</f>
        <v>1420.6</v>
      </c>
      <c r="G46" s="8">
        <f>SUM(G45:G45)</f>
        <v>0</v>
      </c>
      <c r="H46" s="8">
        <f>SUM(H45:H45)</f>
        <v>0</v>
      </c>
      <c r="I46" s="8">
        <f>SUM(I45:I45)</f>
        <v>1420.6</v>
      </c>
      <c r="J46" s="14"/>
      <c r="K46" s="491"/>
      <c r="L46" s="99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</row>
    <row r="47" spans="1:33" ht="24" customHeight="1" x14ac:dyDescent="0.2">
      <c r="A47" s="316" t="s">
        <v>21</v>
      </c>
      <c r="B47" s="316"/>
      <c r="C47" s="316"/>
      <c r="D47" s="316"/>
      <c r="E47" s="211"/>
      <c r="F47" s="8">
        <f>F28+F36+F40+F44+F46</f>
        <v>98185.900000000009</v>
      </c>
      <c r="G47" s="8">
        <f>G28+G36+G40+G44</f>
        <v>0</v>
      </c>
      <c r="H47" s="8">
        <f>H28+H36+H40+H44</f>
        <v>93242.1</v>
      </c>
      <c r="I47" s="8">
        <f>I28+I36+I40+I44+I45</f>
        <v>4943.7999999999993</v>
      </c>
      <c r="J47" s="30"/>
      <c r="K47" s="217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</row>
    <row r="48" spans="1:33" ht="24.75" customHeight="1" x14ac:dyDescent="0.2">
      <c r="A48" s="303" t="s">
        <v>22</v>
      </c>
      <c r="B48" s="303"/>
      <c r="C48" s="303"/>
      <c r="D48" s="303"/>
      <c r="E48" s="303"/>
      <c r="F48" s="303"/>
      <c r="G48" s="303"/>
      <c r="H48" s="303"/>
      <c r="I48" s="303"/>
      <c r="J48" s="303"/>
      <c r="K48" s="303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8"/>
    </row>
    <row r="49" spans="1:19" ht="13.5" customHeight="1" x14ac:dyDescent="0.25">
      <c r="A49" s="283" t="s">
        <v>116</v>
      </c>
      <c r="B49" s="233" t="s">
        <v>23</v>
      </c>
      <c r="C49" s="235" t="s">
        <v>124</v>
      </c>
      <c r="D49" s="236" t="s">
        <v>209</v>
      </c>
      <c r="E49" s="213">
        <v>2015</v>
      </c>
      <c r="F49" s="143">
        <f>SUM(G49:I49)</f>
        <v>4863.4000000000005</v>
      </c>
      <c r="G49" s="143"/>
      <c r="H49" s="143">
        <v>4814.8</v>
      </c>
      <c r="I49" s="143">
        <v>48.6</v>
      </c>
      <c r="J49" s="12"/>
      <c r="K49" s="236" t="s">
        <v>132</v>
      </c>
      <c r="O49" s="107"/>
    </row>
    <row r="50" spans="1:19" ht="15" x14ac:dyDescent="0.25">
      <c r="A50" s="281"/>
      <c r="B50" s="279"/>
      <c r="C50" s="243"/>
      <c r="D50" s="244"/>
      <c r="E50" s="212">
        <v>2016</v>
      </c>
      <c r="F50" s="7"/>
      <c r="G50" s="7"/>
      <c r="H50" s="7"/>
      <c r="I50" s="7"/>
      <c r="J50" s="14"/>
      <c r="K50" s="244"/>
    </row>
    <row r="51" spans="1:19" ht="15" x14ac:dyDescent="0.25">
      <c r="A51" s="281"/>
      <c r="B51" s="279"/>
      <c r="C51" s="243"/>
      <c r="D51" s="244"/>
      <c r="E51" s="212">
        <v>2017</v>
      </c>
      <c r="F51" s="7"/>
      <c r="G51" s="7"/>
      <c r="H51" s="7"/>
      <c r="I51" s="7"/>
      <c r="J51" s="14"/>
      <c r="K51" s="244"/>
      <c r="L51" s="99"/>
    </row>
    <row r="52" spans="1:19" ht="15" x14ac:dyDescent="0.25">
      <c r="A52" s="281"/>
      <c r="B52" s="279"/>
      <c r="C52" s="243"/>
      <c r="D52" s="244"/>
      <c r="E52" s="212">
        <v>2018</v>
      </c>
      <c r="F52" s="7"/>
      <c r="G52" s="7"/>
      <c r="H52" s="7"/>
      <c r="I52" s="7"/>
      <c r="J52" s="14"/>
      <c r="K52" s="244"/>
    </row>
    <row r="53" spans="1:19" ht="15" x14ac:dyDescent="0.25">
      <c r="A53" s="281"/>
      <c r="B53" s="279"/>
      <c r="C53" s="243"/>
      <c r="D53" s="244"/>
      <c r="E53" s="212">
        <v>2019</v>
      </c>
      <c r="F53" s="7"/>
      <c r="G53" s="7"/>
      <c r="H53" s="7"/>
      <c r="I53" s="7"/>
      <c r="J53" s="14"/>
      <c r="K53" s="244"/>
    </row>
    <row r="54" spans="1:19" ht="15" x14ac:dyDescent="0.25">
      <c r="A54" s="281"/>
      <c r="B54" s="279"/>
      <c r="C54" s="243"/>
      <c r="D54" s="244"/>
      <c r="E54" s="212">
        <v>2020</v>
      </c>
      <c r="F54" s="7"/>
      <c r="G54" s="7"/>
      <c r="H54" s="7"/>
      <c r="I54" s="7"/>
      <c r="J54" s="14"/>
      <c r="K54" s="244"/>
    </row>
    <row r="55" spans="1:19" ht="47.25" customHeight="1" x14ac:dyDescent="0.2">
      <c r="A55" s="281"/>
      <c r="B55" s="280"/>
      <c r="C55" s="317"/>
      <c r="D55" s="237"/>
      <c r="E55" s="18" t="s">
        <v>18</v>
      </c>
      <c r="F55" s="8">
        <f>SUM(F49:F54)</f>
        <v>4863.4000000000005</v>
      </c>
      <c r="G55" s="8"/>
      <c r="H55" s="8">
        <f>SUM(H49:H54)</f>
        <v>4814.8</v>
      </c>
      <c r="I55" s="8">
        <f>SUM(I49:I54)</f>
        <v>48.6</v>
      </c>
      <c r="J55" s="14"/>
      <c r="K55" s="244"/>
    </row>
    <row r="56" spans="1:19" ht="12.75" customHeight="1" x14ac:dyDescent="0.25">
      <c r="A56" s="281" t="s">
        <v>266</v>
      </c>
      <c r="B56" s="278" t="s">
        <v>24</v>
      </c>
      <c r="C56" s="242">
        <v>2015</v>
      </c>
      <c r="D56" s="236" t="s">
        <v>209</v>
      </c>
      <c r="E56" s="212">
        <v>2015</v>
      </c>
      <c r="F56" s="7">
        <f>SUM(G56:I56)</f>
        <v>1538.4</v>
      </c>
      <c r="G56" s="7"/>
      <c r="H56" s="7"/>
      <c r="I56" s="7">
        <v>1538.4</v>
      </c>
      <c r="J56" s="14"/>
      <c r="K56" s="244"/>
    </row>
    <row r="57" spans="1:19" ht="55.5" customHeight="1" x14ac:dyDescent="0.2">
      <c r="A57" s="281"/>
      <c r="B57" s="280"/>
      <c r="C57" s="317"/>
      <c r="D57" s="237"/>
      <c r="E57" s="18" t="s">
        <v>18</v>
      </c>
      <c r="F57" s="8">
        <f>SUM(F56:F56)</f>
        <v>1538.4</v>
      </c>
      <c r="G57" s="8"/>
      <c r="H57" s="8"/>
      <c r="I57" s="8">
        <f>SUM(I56:I56)</f>
        <v>1538.4</v>
      </c>
      <c r="J57" s="14"/>
      <c r="K57" s="237"/>
    </row>
    <row r="58" spans="1:19" ht="15" x14ac:dyDescent="0.25">
      <c r="A58" s="281" t="s">
        <v>267</v>
      </c>
      <c r="B58" s="278" t="s">
        <v>25</v>
      </c>
      <c r="C58" s="234" t="s">
        <v>405</v>
      </c>
      <c r="D58" s="236" t="s">
        <v>209</v>
      </c>
      <c r="E58" s="212">
        <v>2015</v>
      </c>
      <c r="F58" s="7">
        <f t="shared" ref="F58:F63" si="7">SUM(G58:J58)</f>
        <v>21031.8</v>
      </c>
      <c r="G58" s="7"/>
      <c r="H58" s="7"/>
      <c r="I58" s="7">
        <f>22881.8-1000-850</f>
        <v>21031.8</v>
      </c>
      <c r="J58" s="14"/>
      <c r="K58" s="236" t="s">
        <v>134</v>
      </c>
    </row>
    <row r="59" spans="1:19" ht="15" x14ac:dyDescent="0.25">
      <c r="A59" s="281"/>
      <c r="B59" s="279"/>
      <c r="C59" s="238"/>
      <c r="D59" s="244"/>
      <c r="E59" s="212">
        <v>2016</v>
      </c>
      <c r="F59" s="7">
        <f t="shared" si="7"/>
        <v>21444.400000000001</v>
      </c>
      <c r="G59" s="7"/>
      <c r="H59" s="7"/>
      <c r="I59" s="7">
        <f>22597.2-180.3-509-463.5</f>
        <v>21444.400000000001</v>
      </c>
      <c r="J59" s="14"/>
      <c r="K59" s="289"/>
      <c r="L59" s="28"/>
      <c r="M59" s="28"/>
      <c r="N59" s="113" t="s">
        <v>326</v>
      </c>
      <c r="O59" s="115"/>
      <c r="P59" s="113" t="s">
        <v>325</v>
      </c>
      <c r="Q59" s="114"/>
      <c r="R59" s="114"/>
      <c r="S59" s="115"/>
    </row>
    <row r="60" spans="1:19" ht="15" x14ac:dyDescent="0.25">
      <c r="A60" s="281"/>
      <c r="B60" s="279"/>
      <c r="C60" s="238"/>
      <c r="D60" s="244"/>
      <c r="E60" s="212">
        <v>2017</v>
      </c>
      <c r="F60" s="7">
        <f t="shared" si="7"/>
        <v>44377.700000000004</v>
      </c>
      <c r="G60" s="7"/>
      <c r="H60" s="7"/>
      <c r="I60" s="7">
        <f>21166.7+19807.9+3403.1</f>
        <v>44377.700000000004</v>
      </c>
      <c r="J60" s="14"/>
      <c r="K60" s="289"/>
      <c r="L60" s="99" t="s">
        <v>355</v>
      </c>
      <c r="M60" s="106"/>
      <c r="N60" s="108" t="s">
        <v>322</v>
      </c>
      <c r="O60" s="116">
        <v>21166.7</v>
      </c>
      <c r="P60" s="108" t="s">
        <v>323</v>
      </c>
      <c r="Q60" s="110">
        <v>11932.5</v>
      </c>
      <c r="R60" s="111" t="s">
        <v>324</v>
      </c>
      <c r="S60" s="112">
        <v>7875.4</v>
      </c>
    </row>
    <row r="61" spans="1:19" ht="15" x14ac:dyDescent="0.25">
      <c r="A61" s="281"/>
      <c r="B61" s="279"/>
      <c r="C61" s="238"/>
      <c r="D61" s="244"/>
      <c r="E61" s="212">
        <v>2018</v>
      </c>
      <c r="F61" s="7">
        <f t="shared" si="7"/>
        <v>48805.5</v>
      </c>
      <c r="G61" s="7"/>
      <c r="H61" s="7"/>
      <c r="I61" s="7">
        <f>47082.6+1722.9</f>
        <v>48805.5</v>
      </c>
      <c r="J61" s="14"/>
      <c r="K61" s="244"/>
      <c r="L61" s="99"/>
      <c r="M61" s="106"/>
    </row>
    <row r="62" spans="1:19" ht="15" x14ac:dyDescent="0.25">
      <c r="A62" s="281"/>
      <c r="B62" s="279"/>
      <c r="C62" s="238"/>
      <c r="D62" s="244"/>
      <c r="E62" s="212">
        <v>2019</v>
      </c>
      <c r="F62" s="7">
        <f t="shared" si="7"/>
        <v>76210.5</v>
      </c>
      <c r="G62" s="7"/>
      <c r="H62" s="7"/>
      <c r="I62" s="7">
        <f>68983.8+7226.7</f>
        <v>76210.5</v>
      </c>
      <c r="J62" s="14"/>
      <c r="K62" s="244"/>
      <c r="L62" s="99"/>
      <c r="M62" s="106"/>
    </row>
    <row r="63" spans="1:19" ht="15" x14ac:dyDescent="0.25">
      <c r="A63" s="281"/>
      <c r="B63" s="279"/>
      <c r="C63" s="238"/>
      <c r="D63" s="244"/>
      <c r="E63" s="212">
        <v>2020</v>
      </c>
      <c r="F63" s="7">
        <f t="shared" si="7"/>
        <v>30974.9</v>
      </c>
      <c r="G63" s="7"/>
      <c r="H63" s="7"/>
      <c r="I63" s="7">
        <v>30974.9</v>
      </c>
      <c r="J63" s="14"/>
      <c r="K63" s="244"/>
      <c r="M63" s="28"/>
    </row>
    <row r="64" spans="1:19" ht="15" x14ac:dyDescent="0.25">
      <c r="A64" s="281"/>
      <c r="B64" s="279"/>
      <c r="C64" s="238"/>
      <c r="D64" s="244"/>
      <c r="E64" s="224">
        <v>2021</v>
      </c>
      <c r="F64" s="7">
        <f t="shared" ref="F64" si="8">SUM(G64:J64)</f>
        <v>11240.8</v>
      </c>
      <c r="G64" s="7"/>
      <c r="H64" s="7"/>
      <c r="I64" s="7">
        <v>11240.8</v>
      </c>
      <c r="J64" s="14"/>
      <c r="K64" s="244"/>
      <c r="M64" s="28"/>
    </row>
    <row r="65" spans="1:14" ht="15" x14ac:dyDescent="0.25">
      <c r="A65" s="281"/>
      <c r="B65" s="279"/>
      <c r="C65" s="238"/>
      <c r="D65" s="244"/>
      <c r="E65" s="224">
        <v>2022</v>
      </c>
      <c r="F65" s="7">
        <f t="shared" ref="F65" si="9">SUM(G65:J65)</f>
        <v>11690.4</v>
      </c>
      <c r="G65" s="7"/>
      <c r="H65" s="7"/>
      <c r="I65" s="7">
        <v>11690.4</v>
      </c>
      <c r="J65" s="14"/>
      <c r="K65" s="244"/>
      <c r="M65" s="28"/>
    </row>
    <row r="66" spans="1:14" ht="15" x14ac:dyDescent="0.25">
      <c r="A66" s="281"/>
      <c r="B66" s="279"/>
      <c r="C66" s="238"/>
      <c r="D66" s="244"/>
      <c r="E66" s="224">
        <v>2023</v>
      </c>
      <c r="F66" s="7">
        <f t="shared" ref="F66" si="10">SUM(G66:J66)</f>
        <v>12158</v>
      </c>
      <c r="G66" s="7"/>
      <c r="H66" s="7"/>
      <c r="I66" s="7">
        <v>12158</v>
      </c>
      <c r="J66" s="14"/>
      <c r="K66" s="244"/>
      <c r="M66" s="28"/>
    </row>
    <row r="67" spans="1:14" ht="15" x14ac:dyDescent="0.25">
      <c r="A67" s="281"/>
      <c r="B67" s="279"/>
      <c r="C67" s="238"/>
      <c r="D67" s="244"/>
      <c r="E67" s="224">
        <v>2024</v>
      </c>
      <c r="F67" s="7">
        <f t="shared" ref="F67" si="11">SUM(G67:J67)</f>
        <v>12644.3</v>
      </c>
      <c r="G67" s="7"/>
      <c r="H67" s="7"/>
      <c r="I67" s="7">
        <v>12644.3</v>
      </c>
      <c r="J67" s="14"/>
      <c r="K67" s="244"/>
      <c r="M67" s="28"/>
    </row>
    <row r="68" spans="1:14" ht="15" x14ac:dyDescent="0.25">
      <c r="A68" s="281"/>
      <c r="B68" s="279"/>
      <c r="C68" s="238"/>
      <c r="D68" s="244"/>
      <c r="E68" s="224">
        <v>2025</v>
      </c>
      <c r="F68" s="7">
        <f t="shared" ref="F68" si="12">SUM(G68:J68)</f>
        <v>13150.1</v>
      </c>
      <c r="G68" s="7"/>
      <c r="H68" s="7"/>
      <c r="I68" s="7">
        <v>13150.1</v>
      </c>
      <c r="J68" s="14"/>
      <c r="K68" s="244"/>
      <c r="M68" s="28"/>
    </row>
    <row r="69" spans="1:14" ht="38.25" customHeight="1" x14ac:dyDescent="0.2">
      <c r="A69" s="281"/>
      <c r="B69" s="279"/>
      <c r="C69" s="239"/>
      <c r="D69" s="237"/>
      <c r="E69" s="18" t="s">
        <v>18</v>
      </c>
      <c r="F69" s="8">
        <f>SUM(F58:F68)</f>
        <v>303728.39999999997</v>
      </c>
      <c r="G69" s="8"/>
      <c r="H69" s="8"/>
      <c r="I69" s="8">
        <f>SUM(I58:I68)</f>
        <v>303728.39999999997</v>
      </c>
      <c r="J69" s="13"/>
      <c r="K69" s="237"/>
    </row>
    <row r="70" spans="1:14" ht="15" x14ac:dyDescent="0.25">
      <c r="A70" s="281" t="s">
        <v>268</v>
      </c>
      <c r="B70" s="278" t="s">
        <v>250</v>
      </c>
      <c r="C70" s="234" t="s">
        <v>405</v>
      </c>
      <c r="D70" s="236" t="s">
        <v>209</v>
      </c>
      <c r="E70" s="212">
        <v>2017</v>
      </c>
      <c r="F70" s="7">
        <f t="shared" ref="F70:F73" si="13">SUM(G70:J70)</f>
        <v>10971.099999999999</v>
      </c>
      <c r="G70" s="7"/>
      <c r="H70" s="7">
        <f>20253.8-8128.5-1154.2</f>
        <v>10971.099999999999</v>
      </c>
      <c r="I70" s="7"/>
      <c r="J70" s="14"/>
      <c r="K70" s="236" t="s">
        <v>261</v>
      </c>
      <c r="L70" s="99" t="s">
        <v>314</v>
      </c>
      <c r="M70" s="4">
        <v>8128.5</v>
      </c>
      <c r="N70" s="99"/>
    </row>
    <row r="71" spans="1:14" ht="15" x14ac:dyDescent="0.25">
      <c r="A71" s="281"/>
      <c r="B71" s="279"/>
      <c r="C71" s="238"/>
      <c r="D71" s="244"/>
      <c r="E71" s="212">
        <v>2018</v>
      </c>
      <c r="F71" s="7">
        <f t="shared" si="13"/>
        <v>11496.8</v>
      </c>
      <c r="G71" s="7"/>
      <c r="H71" s="7">
        <f>17346.3-5849.5</f>
        <v>11496.8</v>
      </c>
      <c r="I71" s="7"/>
      <c r="J71" s="14"/>
      <c r="K71" s="244"/>
    </row>
    <row r="72" spans="1:14" ht="15" x14ac:dyDescent="0.25">
      <c r="A72" s="281"/>
      <c r="B72" s="279"/>
      <c r="C72" s="238"/>
      <c r="D72" s="244"/>
      <c r="E72" s="212">
        <v>2019</v>
      </c>
      <c r="F72" s="7">
        <f t="shared" si="13"/>
        <v>13556.5</v>
      </c>
      <c r="G72" s="7"/>
      <c r="H72" s="7">
        <v>13556.5</v>
      </c>
      <c r="I72" s="7"/>
      <c r="J72" s="14"/>
      <c r="K72" s="244"/>
      <c r="M72" s="106"/>
    </row>
    <row r="73" spans="1:14" ht="15" x14ac:dyDescent="0.25">
      <c r="A73" s="281"/>
      <c r="B73" s="279"/>
      <c r="C73" s="238"/>
      <c r="D73" s="244"/>
      <c r="E73" s="212">
        <v>2020</v>
      </c>
      <c r="F73" s="7">
        <f t="shared" si="13"/>
        <v>14156.5</v>
      </c>
      <c r="G73" s="7"/>
      <c r="H73" s="7">
        <v>14156.5</v>
      </c>
      <c r="I73" s="7"/>
      <c r="J73" s="14"/>
      <c r="K73" s="244"/>
      <c r="L73" s="99"/>
      <c r="M73" s="106"/>
    </row>
    <row r="74" spans="1:14" ht="15" x14ac:dyDescent="0.25">
      <c r="A74" s="281"/>
      <c r="B74" s="279"/>
      <c r="C74" s="238"/>
      <c r="D74" s="244"/>
      <c r="E74" s="224">
        <v>2021</v>
      </c>
      <c r="F74" s="7">
        <f t="shared" ref="F74:F77" si="14">SUM(G74:J74)</f>
        <v>14156.5</v>
      </c>
      <c r="G74" s="7"/>
      <c r="H74" s="7">
        <v>14156.5</v>
      </c>
      <c r="I74" s="7"/>
      <c r="J74" s="14"/>
      <c r="K74" s="244"/>
      <c r="L74" s="99" t="s">
        <v>314</v>
      </c>
      <c r="M74" s="4">
        <v>8128.5</v>
      </c>
      <c r="N74" s="99"/>
    </row>
    <row r="75" spans="1:14" ht="15" x14ac:dyDescent="0.25">
      <c r="A75" s="281"/>
      <c r="B75" s="279"/>
      <c r="C75" s="238"/>
      <c r="D75" s="244"/>
      <c r="E75" s="224">
        <v>2022</v>
      </c>
      <c r="F75" s="7">
        <f t="shared" si="14"/>
        <v>15000</v>
      </c>
      <c r="G75" s="7"/>
      <c r="H75" s="7">
        <v>15000</v>
      </c>
      <c r="I75" s="7"/>
      <c r="J75" s="14"/>
      <c r="K75" s="244"/>
    </row>
    <row r="76" spans="1:14" ht="15" x14ac:dyDescent="0.25">
      <c r="A76" s="281"/>
      <c r="B76" s="279"/>
      <c r="C76" s="238"/>
      <c r="D76" s="244"/>
      <c r="E76" s="224">
        <v>2023</v>
      </c>
      <c r="F76" s="7">
        <f t="shared" si="14"/>
        <v>15690</v>
      </c>
      <c r="G76" s="7"/>
      <c r="H76" s="7">
        <v>15690</v>
      </c>
      <c r="I76" s="7"/>
      <c r="J76" s="14"/>
      <c r="K76" s="244"/>
      <c r="M76" s="106"/>
    </row>
    <row r="77" spans="1:14" ht="15" x14ac:dyDescent="0.25">
      <c r="A77" s="281"/>
      <c r="B77" s="279"/>
      <c r="C77" s="238"/>
      <c r="D77" s="244"/>
      <c r="E77" s="224">
        <v>2024</v>
      </c>
      <c r="F77" s="7">
        <f t="shared" si="14"/>
        <v>16411.7</v>
      </c>
      <c r="G77" s="7"/>
      <c r="H77" s="7">
        <v>16411.7</v>
      </c>
      <c r="I77" s="7"/>
      <c r="J77" s="14"/>
      <c r="K77" s="244"/>
      <c r="L77" s="99"/>
      <c r="M77" s="106"/>
    </row>
    <row r="78" spans="1:14" ht="15" x14ac:dyDescent="0.25">
      <c r="A78" s="281"/>
      <c r="B78" s="279"/>
      <c r="C78" s="238"/>
      <c r="D78" s="244"/>
      <c r="E78" s="224">
        <v>2025</v>
      </c>
      <c r="F78" s="7">
        <f t="shared" ref="F78" si="15">SUM(G78:J78)</f>
        <v>17166.7</v>
      </c>
      <c r="G78" s="7"/>
      <c r="H78" s="7">
        <v>17166.7</v>
      </c>
      <c r="I78" s="7"/>
      <c r="J78" s="14"/>
      <c r="K78" s="244"/>
      <c r="L78" s="99"/>
      <c r="M78" s="106"/>
    </row>
    <row r="79" spans="1:14" ht="51.75" customHeight="1" x14ac:dyDescent="0.2">
      <c r="A79" s="281"/>
      <c r="B79" s="279"/>
      <c r="C79" s="239"/>
      <c r="D79" s="237"/>
      <c r="E79" s="18" t="s">
        <v>18</v>
      </c>
      <c r="F79" s="8">
        <f>SUM(F70:F78)</f>
        <v>128605.79999999999</v>
      </c>
      <c r="G79" s="8"/>
      <c r="H79" s="8">
        <f>SUM(H70:H78)</f>
        <v>128605.79999999999</v>
      </c>
      <c r="I79" s="8"/>
      <c r="J79" s="13"/>
      <c r="K79" s="237"/>
    </row>
    <row r="80" spans="1:14" ht="14.25" x14ac:dyDescent="0.2">
      <c r="A80" s="316" t="s">
        <v>26</v>
      </c>
      <c r="B80" s="316"/>
      <c r="C80" s="316"/>
      <c r="D80" s="316"/>
      <c r="E80" s="211"/>
      <c r="F80" s="8">
        <f>F55+F57+F69+F79</f>
        <v>438735.99999999994</v>
      </c>
      <c r="G80" s="8"/>
      <c r="H80" s="8">
        <f>H55+H79</f>
        <v>133420.59999999998</v>
      </c>
      <c r="I80" s="8">
        <f>I55+I57+I69</f>
        <v>305315.39999999997</v>
      </c>
      <c r="J80" s="30"/>
      <c r="K80" s="211"/>
    </row>
    <row r="81" spans="1:36" ht="15" thickBot="1" x14ac:dyDescent="0.25">
      <c r="A81" s="381" t="s">
        <v>27</v>
      </c>
      <c r="B81" s="344"/>
      <c r="C81" s="344"/>
      <c r="D81" s="344"/>
      <c r="E81" s="344"/>
      <c r="F81" s="344"/>
      <c r="G81" s="344"/>
      <c r="H81" s="344"/>
      <c r="I81" s="344"/>
      <c r="J81" s="344"/>
      <c r="K81" s="344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2"/>
    </row>
    <row r="82" spans="1:36" ht="15" x14ac:dyDescent="0.25">
      <c r="A82" s="283" t="s">
        <v>269</v>
      </c>
      <c r="B82" s="486" t="s">
        <v>418</v>
      </c>
      <c r="C82" s="234" t="s">
        <v>124</v>
      </c>
      <c r="D82" s="236" t="s">
        <v>209</v>
      </c>
      <c r="E82" s="213">
        <v>2015</v>
      </c>
      <c r="F82" s="143">
        <f>SUM(G82:I82)</f>
        <v>2018.1000000000001</v>
      </c>
      <c r="G82" s="143"/>
      <c r="H82" s="143">
        <v>1997.9</v>
      </c>
      <c r="I82" s="143">
        <v>20.2</v>
      </c>
      <c r="J82" s="12"/>
      <c r="K82" s="236" t="s">
        <v>419</v>
      </c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  <c r="Z82" s="219"/>
      <c r="AA82" s="219"/>
      <c r="AB82" s="219"/>
      <c r="AC82" s="219"/>
      <c r="AD82" s="219"/>
      <c r="AE82" s="219"/>
      <c r="AF82" s="219"/>
      <c r="AG82" s="219"/>
      <c r="AH82" s="219"/>
      <c r="AI82" s="219"/>
      <c r="AJ82" s="219"/>
    </row>
    <row r="83" spans="1:36" ht="15" x14ac:dyDescent="0.25">
      <c r="A83" s="281"/>
      <c r="B83" s="487"/>
      <c r="C83" s="238"/>
      <c r="D83" s="244"/>
      <c r="E83" s="212">
        <v>2016</v>
      </c>
      <c r="F83" s="7"/>
      <c r="G83" s="7"/>
      <c r="H83" s="7"/>
      <c r="I83" s="7"/>
      <c r="J83" s="14"/>
      <c r="K83" s="244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9"/>
      <c r="Z83" s="219"/>
      <c r="AA83" s="219"/>
      <c r="AB83" s="219"/>
      <c r="AC83" s="219"/>
      <c r="AD83" s="219"/>
      <c r="AE83" s="219"/>
      <c r="AF83" s="219"/>
      <c r="AG83" s="219"/>
      <c r="AH83" s="219"/>
      <c r="AI83" s="219"/>
      <c r="AJ83" s="219"/>
    </row>
    <row r="84" spans="1:36" ht="15" x14ac:dyDescent="0.25">
      <c r="A84" s="281"/>
      <c r="B84" s="487"/>
      <c r="C84" s="238"/>
      <c r="D84" s="244"/>
      <c r="E84" s="212">
        <v>2017</v>
      </c>
      <c r="F84" s="7">
        <f>SUM(G84:I84)</f>
        <v>0</v>
      </c>
      <c r="G84" s="7"/>
      <c r="H84" s="7">
        <f>23675-23675</f>
        <v>0</v>
      </c>
      <c r="I84" s="7">
        <f>239.1-239.1</f>
        <v>0</v>
      </c>
      <c r="J84" s="14"/>
      <c r="K84" s="244"/>
      <c r="L84" s="218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  <c r="Z84" s="219"/>
      <c r="AA84" s="219"/>
      <c r="AB84" s="219"/>
      <c r="AC84" s="219"/>
      <c r="AD84" s="219"/>
      <c r="AE84" s="219"/>
      <c r="AF84" s="219"/>
      <c r="AG84" s="219"/>
      <c r="AH84" s="219"/>
      <c r="AI84" s="219"/>
      <c r="AJ84" s="219"/>
    </row>
    <row r="85" spans="1:36" ht="15" x14ac:dyDescent="0.25">
      <c r="A85" s="281"/>
      <c r="B85" s="487"/>
      <c r="C85" s="238"/>
      <c r="D85" s="244"/>
      <c r="E85" s="212">
        <v>2018</v>
      </c>
      <c r="F85" s="7"/>
      <c r="G85" s="7"/>
      <c r="H85" s="7"/>
      <c r="I85" s="7"/>
      <c r="J85" s="14"/>
      <c r="K85" s="244"/>
      <c r="L85" s="9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</row>
    <row r="86" spans="1:36" ht="15" x14ac:dyDescent="0.25">
      <c r="A86" s="281"/>
      <c r="B86" s="487"/>
      <c r="C86" s="238"/>
      <c r="D86" s="244"/>
      <c r="E86" s="212">
        <v>2019</v>
      </c>
      <c r="F86" s="7">
        <f>H86+I86</f>
        <v>1137.4000000000001</v>
      </c>
      <c r="G86" s="7"/>
      <c r="H86" s="7">
        <v>1126</v>
      </c>
      <c r="I86" s="7">
        <v>11.4</v>
      </c>
      <c r="J86" s="14"/>
      <c r="K86" s="244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  <c r="Z86" s="219"/>
      <c r="AA86" s="219"/>
      <c r="AB86" s="219"/>
      <c r="AC86" s="219"/>
      <c r="AD86" s="219"/>
      <c r="AE86" s="219"/>
      <c r="AF86" s="219"/>
      <c r="AG86" s="219"/>
      <c r="AH86" s="219"/>
      <c r="AI86" s="219"/>
      <c r="AJ86" s="219"/>
    </row>
    <row r="87" spans="1:36" ht="15" x14ac:dyDescent="0.25">
      <c r="A87" s="281"/>
      <c r="B87" s="487"/>
      <c r="C87" s="238"/>
      <c r="D87" s="244"/>
      <c r="E87" s="212">
        <v>2020</v>
      </c>
      <c r="F87" s="7">
        <f>H87+I87</f>
        <v>4404.2</v>
      </c>
      <c r="G87" s="7"/>
      <c r="H87" s="7">
        <v>4360.2</v>
      </c>
      <c r="I87" s="7">
        <v>44</v>
      </c>
      <c r="J87" s="14"/>
      <c r="K87" s="244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9"/>
      <c r="Z87" s="219"/>
      <c r="AA87" s="219"/>
      <c r="AB87" s="219"/>
      <c r="AC87" s="219"/>
      <c r="AD87" s="219"/>
      <c r="AE87" s="219"/>
      <c r="AF87" s="219"/>
      <c r="AG87" s="219"/>
      <c r="AH87" s="219"/>
      <c r="AI87" s="219"/>
      <c r="AJ87" s="219"/>
    </row>
    <row r="88" spans="1:36" ht="47.25" customHeight="1" x14ac:dyDescent="0.2">
      <c r="A88" s="281"/>
      <c r="B88" s="488"/>
      <c r="C88" s="239"/>
      <c r="D88" s="237"/>
      <c r="E88" s="18" t="s">
        <v>18</v>
      </c>
      <c r="F88" s="8">
        <f>SUM(G88:I88)</f>
        <v>7559.7000000000007</v>
      </c>
      <c r="G88" s="8"/>
      <c r="H88" s="8">
        <f>SUM(H82:H87)</f>
        <v>7484.1</v>
      </c>
      <c r="I88" s="8">
        <f>SUM(I82:I87)</f>
        <v>75.599999999999994</v>
      </c>
      <c r="J88" s="14"/>
      <c r="K88" s="237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  <c r="Z88" s="219"/>
      <c r="AA88" s="219"/>
      <c r="AB88" s="219"/>
      <c r="AC88" s="219"/>
      <c r="AD88" s="219"/>
      <c r="AE88" s="219"/>
      <c r="AF88" s="219"/>
      <c r="AG88" s="219"/>
      <c r="AH88" s="219"/>
      <c r="AI88" s="219"/>
      <c r="AJ88" s="219"/>
    </row>
    <row r="89" spans="1:36" ht="15" customHeight="1" x14ac:dyDescent="0.2">
      <c r="A89" s="313" t="s">
        <v>270</v>
      </c>
      <c r="B89" s="251" t="s">
        <v>236</v>
      </c>
      <c r="C89" s="234" t="s">
        <v>406</v>
      </c>
      <c r="D89" s="236" t="s">
        <v>209</v>
      </c>
      <c r="E89" s="213">
        <v>2015</v>
      </c>
      <c r="F89" s="12"/>
      <c r="G89" s="12"/>
      <c r="H89" s="12"/>
      <c r="I89" s="12"/>
      <c r="J89" s="12"/>
      <c r="K89" s="236" t="s">
        <v>135</v>
      </c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9"/>
      <c r="Z89" s="219"/>
      <c r="AA89" s="219"/>
      <c r="AB89" s="219"/>
      <c r="AC89" s="219"/>
      <c r="AD89" s="219"/>
      <c r="AE89" s="219"/>
      <c r="AF89" s="219"/>
      <c r="AG89" s="219"/>
      <c r="AH89" s="219"/>
      <c r="AI89" s="219"/>
      <c r="AJ89" s="219"/>
    </row>
    <row r="90" spans="1:36" ht="15" customHeight="1" x14ac:dyDescent="0.25">
      <c r="A90" s="314"/>
      <c r="B90" s="252"/>
      <c r="C90" s="250"/>
      <c r="D90" s="244"/>
      <c r="E90" s="212">
        <v>2016</v>
      </c>
      <c r="F90" s="143">
        <f t="shared" ref="F90:F95" si="16">SUM(G90:J90)</f>
        <v>7379.4</v>
      </c>
      <c r="G90" s="7"/>
      <c r="H90" s="7"/>
      <c r="I90" s="7">
        <f>1500+4748.2+1131.2</f>
        <v>7379.4</v>
      </c>
      <c r="J90" s="14"/>
      <c r="K90" s="244"/>
      <c r="L90" s="218"/>
      <c r="M90" s="218"/>
      <c r="N90" s="218"/>
      <c r="O90" s="218"/>
      <c r="P90" s="219"/>
      <c r="Q90" s="219"/>
      <c r="R90" s="219"/>
      <c r="S90" s="219"/>
      <c r="T90" s="219"/>
      <c r="U90" s="219"/>
      <c r="V90" s="219"/>
      <c r="W90" s="219"/>
      <c r="X90" s="219"/>
      <c r="Y90" s="219"/>
      <c r="Z90" s="219"/>
      <c r="AA90" s="219"/>
      <c r="AB90" s="219"/>
      <c r="AC90" s="219"/>
      <c r="AD90" s="219"/>
      <c r="AE90" s="219"/>
      <c r="AF90" s="219"/>
      <c r="AG90" s="219"/>
      <c r="AH90" s="219"/>
      <c r="AI90" s="219"/>
      <c r="AJ90" s="219"/>
    </row>
    <row r="91" spans="1:36" ht="12.75" customHeight="1" x14ac:dyDescent="0.25">
      <c r="A91" s="314"/>
      <c r="B91" s="252"/>
      <c r="C91" s="250"/>
      <c r="D91" s="244"/>
      <c r="E91" s="212">
        <v>2017</v>
      </c>
      <c r="F91" s="143">
        <f t="shared" si="16"/>
        <v>3628</v>
      </c>
      <c r="G91" s="7"/>
      <c r="H91" s="7"/>
      <c r="I91" s="7">
        <v>3628</v>
      </c>
      <c r="J91" s="14"/>
      <c r="K91" s="244"/>
      <c r="L91" s="218"/>
      <c r="M91" s="318"/>
      <c r="N91" s="318"/>
      <c r="O91" s="318"/>
      <c r="P91" s="219"/>
      <c r="Q91" s="219"/>
      <c r="R91" s="219"/>
      <c r="S91" s="219"/>
      <c r="T91" s="219"/>
      <c r="U91" s="219"/>
      <c r="V91" s="219"/>
      <c r="W91" s="219"/>
      <c r="X91" s="219"/>
      <c r="Y91" s="219"/>
      <c r="Z91" s="219"/>
      <c r="AA91" s="219"/>
      <c r="AB91" s="219"/>
      <c r="AC91" s="219"/>
      <c r="AD91" s="219"/>
      <c r="AE91" s="219"/>
      <c r="AF91" s="219"/>
      <c r="AG91" s="219"/>
      <c r="AH91" s="219"/>
      <c r="AI91" s="219"/>
      <c r="AJ91" s="219"/>
    </row>
    <row r="92" spans="1:36" ht="12" customHeight="1" x14ac:dyDescent="0.25">
      <c r="A92" s="314"/>
      <c r="B92" s="252"/>
      <c r="C92" s="250"/>
      <c r="D92" s="244"/>
      <c r="E92" s="212">
        <v>2018</v>
      </c>
      <c r="F92" s="143">
        <f t="shared" si="16"/>
        <v>1000</v>
      </c>
      <c r="G92" s="7"/>
      <c r="H92" s="7"/>
      <c r="I92" s="7">
        <v>1000</v>
      </c>
      <c r="J92" s="14"/>
      <c r="K92" s="244"/>
      <c r="L92" s="99"/>
      <c r="M92" s="218"/>
      <c r="N92" s="218"/>
      <c r="O92" s="218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19"/>
      <c r="AH92" s="219"/>
      <c r="AI92" s="219"/>
      <c r="AJ92" s="219"/>
    </row>
    <row r="93" spans="1:36" ht="14.25" customHeight="1" x14ac:dyDescent="0.25">
      <c r="A93" s="314"/>
      <c r="B93" s="252"/>
      <c r="C93" s="250"/>
      <c r="D93" s="244"/>
      <c r="E93" s="212">
        <v>2019</v>
      </c>
      <c r="F93" s="143">
        <f t="shared" si="16"/>
        <v>800</v>
      </c>
      <c r="G93" s="7"/>
      <c r="H93" s="7"/>
      <c r="I93" s="7">
        <v>800</v>
      </c>
      <c r="J93" s="14"/>
      <c r="K93" s="244"/>
      <c r="L93" s="218"/>
      <c r="M93" s="218"/>
      <c r="N93" s="218"/>
      <c r="O93" s="218"/>
      <c r="P93" s="219"/>
      <c r="Q93" s="219"/>
      <c r="R93" s="219"/>
      <c r="S93" s="219"/>
      <c r="T93" s="219"/>
      <c r="U93" s="219"/>
      <c r="V93" s="219"/>
      <c r="W93" s="219"/>
      <c r="X93" s="219"/>
      <c r="Y93" s="219"/>
      <c r="Z93" s="219"/>
      <c r="AA93" s="219"/>
      <c r="AB93" s="219"/>
      <c r="AC93" s="219"/>
      <c r="AD93" s="219"/>
      <c r="AE93" s="219"/>
      <c r="AF93" s="219"/>
      <c r="AG93" s="219"/>
      <c r="AH93" s="219"/>
      <c r="AI93" s="219"/>
      <c r="AJ93" s="219"/>
    </row>
    <row r="94" spans="1:36" ht="12" customHeight="1" x14ac:dyDescent="0.25">
      <c r="A94" s="314"/>
      <c r="B94" s="252"/>
      <c r="C94" s="250"/>
      <c r="D94" s="244"/>
      <c r="E94" s="212">
        <v>2020</v>
      </c>
      <c r="F94" s="7">
        <f t="shared" si="16"/>
        <v>0</v>
      </c>
      <c r="G94" s="7"/>
      <c r="H94" s="7"/>
      <c r="I94" s="7">
        <v>0</v>
      </c>
      <c r="J94" s="14"/>
      <c r="K94" s="244"/>
      <c r="L94" s="218"/>
      <c r="M94" s="218"/>
      <c r="N94" s="218"/>
      <c r="O94" s="218"/>
      <c r="P94" s="219"/>
      <c r="Q94" s="219"/>
      <c r="R94" s="219"/>
      <c r="S94" s="219"/>
      <c r="T94" s="219"/>
      <c r="U94" s="219"/>
      <c r="V94" s="219"/>
      <c r="W94" s="219"/>
      <c r="X94" s="219"/>
      <c r="Y94" s="219"/>
      <c r="Z94" s="219"/>
      <c r="AA94" s="219"/>
      <c r="AB94" s="219"/>
      <c r="AC94" s="219"/>
      <c r="AD94" s="219"/>
      <c r="AE94" s="219"/>
      <c r="AF94" s="219"/>
      <c r="AG94" s="219"/>
      <c r="AH94" s="219"/>
      <c r="AI94" s="219"/>
      <c r="AJ94" s="219"/>
    </row>
    <row r="95" spans="1:36" ht="12" customHeight="1" x14ac:dyDescent="0.25">
      <c r="A95" s="314"/>
      <c r="B95" s="252"/>
      <c r="C95" s="250"/>
      <c r="D95" s="244"/>
      <c r="E95" s="224">
        <v>2021</v>
      </c>
      <c r="F95" s="7">
        <f t="shared" si="16"/>
        <v>0</v>
      </c>
      <c r="G95" s="7"/>
      <c r="H95" s="7"/>
      <c r="I95" s="7">
        <v>0</v>
      </c>
      <c r="J95" s="14"/>
      <c r="K95" s="244"/>
      <c r="L95" s="222"/>
      <c r="M95" s="222"/>
      <c r="N95" s="222"/>
      <c r="O95" s="222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3"/>
      <c r="AH95" s="223"/>
      <c r="AI95" s="223"/>
      <c r="AJ95" s="223"/>
    </row>
    <row r="96" spans="1:36" ht="15" customHeight="1" x14ac:dyDescent="0.2">
      <c r="A96" s="315"/>
      <c r="B96" s="253"/>
      <c r="C96" s="235"/>
      <c r="D96" s="237"/>
      <c r="E96" s="18" t="s">
        <v>18</v>
      </c>
      <c r="F96" s="8">
        <f>SUM(G96:I96)</f>
        <v>12807.4</v>
      </c>
      <c r="G96" s="8"/>
      <c r="H96" s="8">
        <f>SUM(H89:H93)</f>
        <v>0</v>
      </c>
      <c r="I96" s="8">
        <f>SUM(I89:I95)</f>
        <v>12807.4</v>
      </c>
      <c r="J96" s="14"/>
      <c r="K96" s="237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19"/>
      <c r="AH96" s="219"/>
      <c r="AI96" s="219"/>
      <c r="AJ96" s="219"/>
    </row>
    <row r="97" spans="1:29" ht="14.25" x14ac:dyDescent="0.2">
      <c r="A97" s="478" t="s">
        <v>28</v>
      </c>
      <c r="B97" s="478"/>
      <c r="C97" s="478"/>
      <c r="D97" s="478"/>
      <c r="E97" s="19"/>
      <c r="F97" s="144">
        <f>SUM(G97:I97)</f>
        <v>20367.099999999999</v>
      </c>
      <c r="G97" s="144"/>
      <c r="H97" s="144">
        <f>H88</f>
        <v>7484.1</v>
      </c>
      <c r="I97" s="144">
        <f>I88+I96</f>
        <v>12883</v>
      </c>
      <c r="J97" s="20"/>
      <c r="K97" s="19"/>
    </row>
    <row r="98" spans="1:29" ht="15" x14ac:dyDescent="0.25">
      <c r="A98" s="247" t="s">
        <v>29</v>
      </c>
      <c r="B98" s="479"/>
      <c r="C98" s="479"/>
      <c r="D98" s="479"/>
      <c r="E98" s="479"/>
      <c r="F98" s="479"/>
      <c r="G98" s="479"/>
      <c r="H98" s="479"/>
      <c r="I98" s="479"/>
      <c r="J98" s="479"/>
      <c r="K98" s="479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28"/>
      <c r="W98" s="28"/>
      <c r="X98" s="28"/>
      <c r="Y98" s="28"/>
      <c r="Z98" s="28"/>
      <c r="AA98" s="28"/>
      <c r="AB98" s="28"/>
      <c r="AC98" s="28"/>
    </row>
    <row r="99" spans="1:29" ht="15" x14ac:dyDescent="0.25">
      <c r="A99" s="281" t="s">
        <v>271</v>
      </c>
      <c r="B99" s="232" t="s">
        <v>30</v>
      </c>
      <c r="C99" s="234" t="s">
        <v>124</v>
      </c>
      <c r="D99" s="236" t="s">
        <v>209</v>
      </c>
      <c r="E99" s="212">
        <v>2015</v>
      </c>
      <c r="F99" s="7">
        <f t="shared" ref="F99:F105" si="17">SUM(G99:I99)</f>
        <v>600</v>
      </c>
      <c r="G99" s="7"/>
      <c r="H99" s="7"/>
      <c r="I99" s="7">
        <v>600</v>
      </c>
      <c r="J99" s="14"/>
      <c r="K99" s="236" t="s">
        <v>133</v>
      </c>
    </row>
    <row r="100" spans="1:29" ht="15" x14ac:dyDescent="0.25">
      <c r="A100" s="281"/>
      <c r="B100" s="475"/>
      <c r="C100" s="238"/>
      <c r="D100" s="244"/>
      <c r="E100" s="212">
        <v>2016</v>
      </c>
      <c r="F100" s="7">
        <f t="shared" si="17"/>
        <v>700</v>
      </c>
      <c r="G100" s="7"/>
      <c r="H100" s="7"/>
      <c r="I100" s="7">
        <v>700</v>
      </c>
      <c r="J100" s="14"/>
      <c r="K100" s="244"/>
    </row>
    <row r="101" spans="1:29" ht="15" x14ac:dyDescent="0.25">
      <c r="A101" s="281"/>
      <c r="B101" s="475"/>
      <c r="C101" s="238"/>
      <c r="D101" s="244"/>
      <c r="E101" s="212">
        <v>2017</v>
      </c>
      <c r="F101" s="7">
        <f t="shared" si="17"/>
        <v>0</v>
      </c>
      <c r="G101" s="7"/>
      <c r="H101" s="7"/>
      <c r="I101" s="7">
        <v>0</v>
      </c>
      <c r="J101" s="14"/>
      <c r="K101" s="244"/>
    </row>
    <row r="102" spans="1:29" ht="15" x14ac:dyDescent="0.25">
      <c r="A102" s="281"/>
      <c r="B102" s="475"/>
      <c r="C102" s="238"/>
      <c r="D102" s="244"/>
      <c r="E102" s="212">
        <v>2018</v>
      </c>
      <c r="F102" s="7">
        <f t="shared" si="17"/>
        <v>400</v>
      </c>
      <c r="G102" s="7"/>
      <c r="H102" s="7"/>
      <c r="I102" s="7">
        <v>400</v>
      </c>
      <c r="J102" s="14"/>
      <c r="K102" s="244"/>
      <c r="L102" s="99"/>
      <c r="M102" s="99"/>
    </row>
    <row r="103" spans="1:29" ht="15" x14ac:dyDescent="0.25">
      <c r="A103" s="281"/>
      <c r="B103" s="475"/>
      <c r="C103" s="238"/>
      <c r="D103" s="244"/>
      <c r="E103" s="212">
        <v>2019</v>
      </c>
      <c r="F103" s="7">
        <v>0</v>
      </c>
      <c r="G103" s="7"/>
      <c r="H103" s="7"/>
      <c r="I103" s="7">
        <f>1000-1000</f>
        <v>0</v>
      </c>
      <c r="J103" s="14"/>
      <c r="K103" s="244"/>
      <c r="L103" s="99"/>
    </row>
    <row r="104" spans="1:29" ht="15" x14ac:dyDescent="0.25">
      <c r="A104" s="281"/>
      <c r="B104" s="475"/>
      <c r="C104" s="238"/>
      <c r="D104" s="244"/>
      <c r="E104" s="212">
        <v>2020</v>
      </c>
      <c r="F104" s="7">
        <f t="shared" si="17"/>
        <v>0</v>
      </c>
      <c r="G104" s="7"/>
      <c r="H104" s="7"/>
      <c r="I104" s="7">
        <v>0</v>
      </c>
      <c r="J104" s="14"/>
      <c r="K104" s="244"/>
    </row>
    <row r="105" spans="1:29" ht="14.25" x14ac:dyDescent="0.2">
      <c r="A105" s="281"/>
      <c r="B105" s="476"/>
      <c r="C105" s="239"/>
      <c r="D105" s="237"/>
      <c r="E105" s="18" t="s">
        <v>18</v>
      </c>
      <c r="F105" s="8">
        <f t="shared" si="17"/>
        <v>1700</v>
      </c>
      <c r="G105" s="8"/>
      <c r="H105" s="8"/>
      <c r="I105" s="8">
        <f>SUM(I99:I104)</f>
        <v>1700</v>
      </c>
      <c r="J105" s="14"/>
      <c r="K105" s="237"/>
    </row>
    <row r="106" spans="1:29" ht="14.25" x14ac:dyDescent="0.2">
      <c r="A106" s="316" t="s">
        <v>31</v>
      </c>
      <c r="B106" s="477"/>
      <c r="C106" s="477"/>
      <c r="D106" s="316"/>
      <c r="E106" s="316"/>
      <c r="F106" s="316"/>
      <c r="G106" s="316"/>
      <c r="H106" s="316"/>
      <c r="I106" s="316"/>
      <c r="J106" s="316"/>
      <c r="K106" s="316"/>
    </row>
    <row r="107" spans="1:29" x14ac:dyDescent="0.2">
      <c r="A107" s="281" t="s">
        <v>272</v>
      </c>
      <c r="B107" s="278" t="s">
        <v>32</v>
      </c>
      <c r="C107" s="234" t="s">
        <v>124</v>
      </c>
      <c r="D107" s="236" t="s">
        <v>209</v>
      </c>
      <c r="E107" s="212">
        <v>2015</v>
      </c>
      <c r="F107" s="14">
        <f t="shared" ref="F107:F112" si="18">SUM(G107:I107)</f>
        <v>0</v>
      </c>
      <c r="G107" s="14"/>
      <c r="H107" s="14"/>
      <c r="I107" s="14">
        <v>0</v>
      </c>
      <c r="J107" s="14"/>
      <c r="K107" s="236" t="s">
        <v>133</v>
      </c>
    </row>
    <row r="108" spans="1:29" x14ac:dyDescent="0.2">
      <c r="A108" s="281"/>
      <c r="B108" s="279"/>
      <c r="C108" s="238"/>
      <c r="D108" s="244"/>
      <c r="E108" s="212">
        <v>2016</v>
      </c>
      <c r="F108" s="14">
        <f t="shared" si="18"/>
        <v>0</v>
      </c>
      <c r="G108" s="14"/>
      <c r="H108" s="14"/>
      <c r="I108" s="14">
        <v>0</v>
      </c>
      <c r="J108" s="14"/>
      <c r="K108" s="244"/>
    </row>
    <row r="109" spans="1:29" x14ac:dyDescent="0.2">
      <c r="A109" s="281"/>
      <c r="B109" s="279"/>
      <c r="C109" s="238"/>
      <c r="D109" s="244"/>
      <c r="E109" s="212">
        <v>2017</v>
      </c>
      <c r="F109" s="14">
        <f t="shared" si="18"/>
        <v>0</v>
      </c>
      <c r="G109" s="14"/>
      <c r="H109" s="14"/>
      <c r="I109" s="14">
        <v>0</v>
      </c>
      <c r="J109" s="14"/>
      <c r="K109" s="244"/>
    </row>
    <row r="110" spans="1:29" x14ac:dyDescent="0.2">
      <c r="A110" s="281"/>
      <c r="B110" s="279"/>
      <c r="C110" s="238"/>
      <c r="D110" s="244"/>
      <c r="E110" s="212">
        <v>2018</v>
      </c>
      <c r="F110" s="14">
        <f t="shared" si="18"/>
        <v>0</v>
      </c>
      <c r="G110" s="14"/>
      <c r="H110" s="14"/>
      <c r="I110" s="14">
        <f>176.7-176.7</f>
        <v>0</v>
      </c>
      <c r="J110" s="14"/>
      <c r="K110" s="244"/>
      <c r="L110" s="99"/>
      <c r="M110" s="99"/>
    </row>
    <row r="111" spans="1:29" x14ac:dyDescent="0.2">
      <c r="A111" s="281"/>
      <c r="B111" s="279"/>
      <c r="C111" s="238"/>
      <c r="D111" s="244"/>
      <c r="E111" s="212">
        <v>2019</v>
      </c>
      <c r="F111" s="14">
        <f t="shared" si="18"/>
        <v>0</v>
      </c>
      <c r="G111" s="14"/>
      <c r="H111" s="14"/>
      <c r="I111" s="14">
        <f>202-202</f>
        <v>0</v>
      </c>
      <c r="J111" s="14"/>
      <c r="K111" s="244"/>
      <c r="L111" s="99"/>
      <c r="M111" s="127"/>
      <c r="N111" s="99"/>
    </row>
    <row r="112" spans="1:29" x14ac:dyDescent="0.2">
      <c r="A112" s="281"/>
      <c r="B112" s="279"/>
      <c r="C112" s="238"/>
      <c r="D112" s="244"/>
      <c r="E112" s="212">
        <v>2020</v>
      </c>
      <c r="F112" s="14">
        <f t="shared" si="18"/>
        <v>0</v>
      </c>
      <c r="G112" s="14"/>
      <c r="H112" s="14"/>
      <c r="I112" s="14">
        <v>0</v>
      </c>
      <c r="J112" s="14"/>
      <c r="K112" s="244"/>
      <c r="L112" s="99"/>
    </row>
    <row r="113" spans="1:36" x14ac:dyDescent="0.2">
      <c r="A113" s="281"/>
      <c r="B113" s="279"/>
      <c r="C113" s="239"/>
      <c r="D113" s="237"/>
      <c r="E113" s="18" t="s">
        <v>18</v>
      </c>
      <c r="F113" s="13">
        <f>SUM(F107:F112)</f>
        <v>0</v>
      </c>
      <c r="G113" s="13"/>
      <c r="H113" s="13"/>
      <c r="I113" s="13">
        <f>SUM(I107:I112)</f>
        <v>0</v>
      </c>
      <c r="J113" s="14"/>
      <c r="K113" s="237"/>
      <c r="P113" s="99"/>
    </row>
    <row r="114" spans="1:36" ht="20.25" customHeight="1" x14ac:dyDescent="0.25">
      <c r="A114" s="480" t="s">
        <v>196</v>
      </c>
      <c r="B114" s="481"/>
      <c r="C114" s="482"/>
      <c r="D114" s="483"/>
      <c r="E114" s="34"/>
      <c r="F114" s="144">
        <f>SUM(G114:I114)</f>
        <v>688211.89999999991</v>
      </c>
      <c r="G114" s="144"/>
      <c r="H114" s="144">
        <f>H113+H105+H97+H80+H47+H20</f>
        <v>353133.3</v>
      </c>
      <c r="I114" s="144">
        <f>I113+I105+I97+I80+I47+I20</f>
        <v>335078.59999999998</v>
      </c>
      <c r="J114" s="21"/>
      <c r="K114" s="34"/>
      <c r="L114" s="117"/>
      <c r="M114" s="99"/>
      <c r="N114" s="117"/>
      <c r="O114" s="118"/>
      <c r="P114" s="139"/>
      <c r="Q114" s="118"/>
      <c r="R114" s="107"/>
    </row>
    <row r="115" spans="1:36" ht="16.5" thickBot="1" x14ac:dyDescent="0.3">
      <c r="A115" s="484" t="s">
        <v>178</v>
      </c>
      <c r="B115" s="485"/>
      <c r="C115" s="485"/>
      <c r="D115" s="485"/>
      <c r="E115" s="485"/>
      <c r="F115" s="485"/>
      <c r="G115" s="485"/>
      <c r="H115" s="485"/>
      <c r="I115" s="485"/>
      <c r="J115" s="485"/>
      <c r="K115" s="485"/>
      <c r="L115" s="120"/>
      <c r="M115" s="120"/>
      <c r="N115" s="28"/>
      <c r="O115" s="28"/>
      <c r="P115" s="28"/>
      <c r="Q115" s="28"/>
      <c r="R115" s="120"/>
      <c r="S115" s="120"/>
      <c r="T115" s="120"/>
      <c r="U115" s="120"/>
      <c r="V115" s="120"/>
      <c r="W115" s="11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/>
      <c r="AH115" s="209"/>
      <c r="AI115" s="209"/>
      <c r="AJ115" s="209"/>
    </row>
    <row r="116" spans="1:36" ht="44.25" customHeight="1" thickBot="1" x14ac:dyDescent="0.25">
      <c r="A116" s="327" t="s">
        <v>224</v>
      </c>
      <c r="B116" s="467"/>
      <c r="C116" s="467"/>
      <c r="D116" s="467"/>
      <c r="E116" s="467"/>
      <c r="F116" s="467"/>
      <c r="G116" s="467"/>
      <c r="H116" s="467"/>
      <c r="I116" s="467"/>
      <c r="J116" s="467"/>
      <c r="K116" s="468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</row>
    <row r="117" spans="1:36" x14ac:dyDescent="0.2">
      <c r="A117" s="281" t="s">
        <v>64</v>
      </c>
      <c r="B117" s="469" t="s">
        <v>33</v>
      </c>
      <c r="C117" s="471" t="s">
        <v>124</v>
      </c>
      <c r="D117" s="473" t="s">
        <v>394</v>
      </c>
      <c r="E117" s="212">
        <v>2015</v>
      </c>
      <c r="F117" s="212"/>
      <c r="G117" s="212"/>
      <c r="H117" s="212"/>
      <c r="I117" s="212"/>
      <c r="J117" s="212"/>
      <c r="K117" s="349" t="s">
        <v>34</v>
      </c>
    </row>
    <row r="118" spans="1:36" x14ac:dyDescent="0.2">
      <c r="A118" s="281"/>
      <c r="B118" s="470"/>
      <c r="C118" s="472"/>
      <c r="D118" s="474"/>
      <c r="E118" s="212">
        <v>2016</v>
      </c>
      <c r="F118" s="212"/>
      <c r="G118" s="212"/>
      <c r="H118" s="212"/>
      <c r="I118" s="212"/>
      <c r="J118" s="212"/>
      <c r="K118" s="244"/>
    </row>
    <row r="119" spans="1:36" x14ac:dyDescent="0.2">
      <c r="A119" s="281"/>
      <c r="B119" s="470"/>
      <c r="C119" s="472"/>
      <c r="D119" s="474"/>
      <c r="E119" s="212">
        <v>2017</v>
      </c>
      <c r="F119" s="212"/>
      <c r="G119" s="212"/>
      <c r="H119" s="212"/>
      <c r="I119" s="212"/>
      <c r="J119" s="212"/>
      <c r="K119" s="244"/>
      <c r="L119" s="99"/>
    </row>
    <row r="120" spans="1:36" x14ac:dyDescent="0.2">
      <c r="A120" s="281"/>
      <c r="B120" s="470"/>
      <c r="C120" s="472"/>
      <c r="D120" s="474"/>
      <c r="E120" s="212">
        <v>2018</v>
      </c>
      <c r="F120" s="212"/>
      <c r="G120" s="212"/>
      <c r="H120" s="212"/>
      <c r="I120" s="212"/>
      <c r="J120" s="212"/>
      <c r="K120" s="244"/>
    </row>
    <row r="121" spans="1:36" x14ac:dyDescent="0.2">
      <c r="A121" s="281"/>
      <c r="B121" s="470"/>
      <c r="C121" s="472"/>
      <c r="D121" s="474"/>
      <c r="E121" s="212">
        <v>2019</v>
      </c>
      <c r="F121" s="212"/>
      <c r="G121" s="212"/>
      <c r="H121" s="212"/>
      <c r="I121" s="212"/>
      <c r="J121" s="212"/>
      <c r="K121" s="244"/>
    </row>
    <row r="122" spans="1:36" x14ac:dyDescent="0.2">
      <c r="A122" s="281"/>
      <c r="B122" s="470"/>
      <c r="C122" s="472"/>
      <c r="D122" s="474"/>
      <c r="E122" s="212">
        <v>2020</v>
      </c>
      <c r="F122" s="212"/>
      <c r="G122" s="212"/>
      <c r="H122" s="212"/>
      <c r="I122" s="212"/>
      <c r="J122" s="212"/>
      <c r="K122" s="244"/>
    </row>
    <row r="123" spans="1:36" ht="21.75" customHeight="1" thickBot="1" x14ac:dyDescent="0.25">
      <c r="A123" s="282"/>
      <c r="B123" s="470"/>
      <c r="C123" s="472"/>
      <c r="D123" s="474"/>
      <c r="E123" s="26" t="s">
        <v>18</v>
      </c>
      <c r="F123" s="220"/>
      <c r="G123" s="220"/>
      <c r="H123" s="220"/>
      <c r="I123" s="220"/>
      <c r="J123" s="220"/>
      <c r="K123" s="244"/>
    </row>
    <row r="124" spans="1:36" ht="18" customHeight="1" thickBot="1" x14ac:dyDescent="0.25">
      <c r="A124" s="460" t="s">
        <v>199</v>
      </c>
      <c r="B124" s="461"/>
      <c r="C124" s="461"/>
      <c r="D124" s="461"/>
      <c r="E124" s="462"/>
      <c r="F124" s="463" t="s">
        <v>35</v>
      </c>
      <c r="G124" s="464"/>
      <c r="H124" s="464"/>
      <c r="I124" s="464"/>
      <c r="J124" s="465"/>
      <c r="K124" s="98"/>
    </row>
    <row r="125" spans="1:36" x14ac:dyDescent="0.2">
      <c r="A125" s="425" t="s">
        <v>36</v>
      </c>
      <c r="B125" s="466"/>
      <c r="C125" s="466"/>
      <c r="D125" s="466"/>
      <c r="E125" s="466"/>
      <c r="F125" s="466"/>
      <c r="G125" s="466"/>
      <c r="H125" s="466"/>
      <c r="I125" s="466"/>
      <c r="J125" s="466"/>
      <c r="K125" s="466"/>
    </row>
    <row r="126" spans="1:36" ht="31.5" customHeight="1" x14ac:dyDescent="0.2">
      <c r="A126" s="381" t="s">
        <v>37</v>
      </c>
      <c r="B126" s="344"/>
      <c r="C126" s="344"/>
      <c r="D126" s="344"/>
      <c r="E126" s="344"/>
      <c r="F126" s="344"/>
      <c r="G126" s="344"/>
      <c r="H126" s="344"/>
      <c r="I126" s="344"/>
      <c r="J126" s="344"/>
      <c r="K126" s="344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9"/>
      <c r="Z126" s="219"/>
      <c r="AA126" s="219"/>
      <c r="AB126" s="219"/>
      <c r="AC126" s="219"/>
      <c r="AD126" s="219"/>
      <c r="AE126" s="219"/>
      <c r="AF126" s="219"/>
      <c r="AG126" s="219"/>
      <c r="AH126" s="219"/>
      <c r="AI126" s="219"/>
      <c r="AJ126" s="219"/>
    </row>
    <row r="127" spans="1:36" x14ac:dyDescent="0.2">
      <c r="A127" s="283" t="s">
        <v>91</v>
      </c>
      <c r="B127" s="457" t="s">
        <v>38</v>
      </c>
      <c r="C127" s="242" t="s">
        <v>124</v>
      </c>
      <c r="D127" s="277" t="s">
        <v>209</v>
      </c>
      <c r="E127" s="213">
        <v>2015</v>
      </c>
      <c r="F127" s="213"/>
      <c r="G127" s="213"/>
      <c r="H127" s="213"/>
      <c r="I127" s="213"/>
      <c r="J127" s="213"/>
      <c r="K127" s="236" t="s">
        <v>39</v>
      </c>
    </row>
    <row r="128" spans="1:36" x14ac:dyDescent="0.2">
      <c r="A128" s="281"/>
      <c r="B128" s="344"/>
      <c r="C128" s="243"/>
      <c r="D128" s="277"/>
      <c r="E128" s="212">
        <v>2016</v>
      </c>
      <c r="F128" s="212"/>
      <c r="G128" s="212"/>
      <c r="H128" s="212"/>
      <c r="I128" s="212"/>
      <c r="J128" s="212"/>
      <c r="K128" s="244"/>
      <c r="L128" s="99"/>
    </row>
    <row r="129" spans="1:36" x14ac:dyDescent="0.2">
      <c r="A129" s="281"/>
      <c r="B129" s="344"/>
      <c r="C129" s="243"/>
      <c r="D129" s="277"/>
      <c r="E129" s="212">
        <v>2017</v>
      </c>
      <c r="F129" s="212"/>
      <c r="G129" s="212"/>
      <c r="H129" s="212"/>
      <c r="I129" s="212"/>
      <c r="J129" s="212"/>
      <c r="K129" s="244"/>
    </row>
    <row r="130" spans="1:36" x14ac:dyDescent="0.2">
      <c r="A130" s="281"/>
      <c r="B130" s="344"/>
      <c r="C130" s="243"/>
      <c r="D130" s="277"/>
      <c r="E130" s="212">
        <v>2018</v>
      </c>
      <c r="F130" s="212"/>
      <c r="G130" s="212"/>
      <c r="H130" s="212"/>
      <c r="I130" s="212"/>
      <c r="J130" s="212"/>
      <c r="K130" s="244"/>
    </row>
    <row r="131" spans="1:36" x14ac:dyDescent="0.2">
      <c r="A131" s="281"/>
      <c r="B131" s="344"/>
      <c r="C131" s="243"/>
      <c r="D131" s="277"/>
      <c r="E131" s="212">
        <v>2019</v>
      </c>
      <c r="F131" s="212"/>
      <c r="G131" s="212"/>
      <c r="H131" s="212"/>
      <c r="I131" s="212"/>
      <c r="J131" s="212"/>
      <c r="K131" s="244"/>
    </row>
    <row r="132" spans="1:36" x14ac:dyDescent="0.2">
      <c r="A132" s="281"/>
      <c r="B132" s="344"/>
      <c r="C132" s="243"/>
      <c r="D132" s="277"/>
      <c r="E132" s="212">
        <v>2020</v>
      </c>
      <c r="F132" s="212"/>
      <c r="G132" s="212"/>
      <c r="H132" s="212"/>
      <c r="I132" s="212"/>
      <c r="J132" s="212"/>
      <c r="K132" s="244"/>
    </row>
    <row r="133" spans="1:36" ht="30" customHeight="1" x14ac:dyDescent="0.2">
      <c r="A133" s="281"/>
      <c r="B133" s="344"/>
      <c r="C133" s="243"/>
      <c r="D133" s="277"/>
      <c r="E133" s="18" t="s">
        <v>18</v>
      </c>
      <c r="F133" s="212"/>
      <c r="G133" s="212"/>
      <c r="H133" s="212"/>
      <c r="I133" s="212"/>
      <c r="J133" s="212"/>
      <c r="K133" s="237"/>
    </row>
    <row r="134" spans="1:36" x14ac:dyDescent="0.2">
      <c r="A134" s="281" t="s">
        <v>67</v>
      </c>
      <c r="B134" s="258" t="s">
        <v>40</v>
      </c>
      <c r="C134" s="242" t="s">
        <v>124</v>
      </c>
      <c r="D134" s="277" t="s">
        <v>209</v>
      </c>
      <c r="E134" s="212">
        <v>2015</v>
      </c>
      <c r="F134" s="212"/>
      <c r="G134" s="212"/>
      <c r="H134" s="212"/>
      <c r="I134" s="212"/>
      <c r="J134" s="212"/>
      <c r="K134" s="236" t="s">
        <v>41</v>
      </c>
    </row>
    <row r="135" spans="1:36" x14ac:dyDescent="0.2">
      <c r="A135" s="281"/>
      <c r="B135" s="344"/>
      <c r="C135" s="243"/>
      <c r="D135" s="277"/>
      <c r="E135" s="212">
        <v>2016</v>
      </c>
      <c r="F135" s="212"/>
      <c r="G135" s="212"/>
      <c r="H135" s="212"/>
      <c r="I135" s="212"/>
      <c r="J135" s="212"/>
      <c r="K135" s="244"/>
      <c r="L135" s="99"/>
    </row>
    <row r="136" spans="1:36" x14ac:dyDescent="0.2">
      <c r="A136" s="281"/>
      <c r="B136" s="344"/>
      <c r="C136" s="243"/>
      <c r="D136" s="277"/>
      <c r="E136" s="212">
        <v>2017</v>
      </c>
      <c r="F136" s="212"/>
      <c r="G136" s="212"/>
      <c r="H136" s="212"/>
      <c r="I136" s="212"/>
      <c r="J136" s="212"/>
      <c r="K136" s="244"/>
    </row>
    <row r="137" spans="1:36" x14ac:dyDescent="0.2">
      <c r="A137" s="281"/>
      <c r="B137" s="344"/>
      <c r="C137" s="243"/>
      <c r="D137" s="277"/>
      <c r="E137" s="212">
        <v>2018</v>
      </c>
      <c r="F137" s="212"/>
      <c r="G137" s="212"/>
      <c r="H137" s="212"/>
      <c r="I137" s="212"/>
      <c r="J137" s="212"/>
      <c r="K137" s="244"/>
    </row>
    <row r="138" spans="1:36" x14ac:dyDescent="0.2">
      <c r="A138" s="281"/>
      <c r="B138" s="344"/>
      <c r="C138" s="243"/>
      <c r="D138" s="277"/>
      <c r="E138" s="212">
        <v>2019</v>
      </c>
      <c r="F138" s="212"/>
      <c r="G138" s="212"/>
      <c r="H138" s="212"/>
      <c r="I138" s="212"/>
      <c r="J138" s="212"/>
      <c r="K138" s="244"/>
    </row>
    <row r="139" spans="1:36" x14ac:dyDescent="0.2">
      <c r="A139" s="281"/>
      <c r="B139" s="344"/>
      <c r="C139" s="243"/>
      <c r="D139" s="277"/>
      <c r="E139" s="212">
        <v>2020</v>
      </c>
      <c r="F139" s="212"/>
      <c r="G139" s="212"/>
      <c r="H139" s="212"/>
      <c r="I139" s="212"/>
      <c r="J139" s="212"/>
      <c r="K139" s="244"/>
    </row>
    <row r="140" spans="1:36" ht="58.5" customHeight="1" x14ac:dyDescent="0.2">
      <c r="A140" s="282"/>
      <c r="B140" s="335"/>
      <c r="C140" s="243"/>
      <c r="D140" s="277"/>
      <c r="E140" s="26" t="s">
        <v>18</v>
      </c>
      <c r="F140" s="220"/>
      <c r="G140" s="220"/>
      <c r="H140" s="220"/>
      <c r="I140" s="220"/>
      <c r="J140" s="220"/>
      <c r="K140" s="237"/>
    </row>
    <row r="141" spans="1:36" ht="32.25" customHeight="1" x14ac:dyDescent="0.2">
      <c r="A141" s="381" t="s">
        <v>42</v>
      </c>
      <c r="B141" s="344"/>
      <c r="C141" s="344"/>
      <c r="D141" s="344"/>
      <c r="E141" s="344"/>
      <c r="F141" s="344"/>
      <c r="G141" s="344"/>
      <c r="H141" s="344"/>
      <c r="I141" s="344"/>
      <c r="J141" s="344"/>
      <c r="K141" s="344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9"/>
      <c r="Y141" s="219"/>
      <c r="Z141" s="219"/>
      <c r="AA141" s="219"/>
      <c r="AB141" s="219"/>
      <c r="AC141" s="219"/>
      <c r="AD141" s="219"/>
      <c r="AE141" s="219"/>
      <c r="AF141" s="219"/>
      <c r="AG141" s="219"/>
      <c r="AH141" s="219"/>
      <c r="AI141" s="219"/>
      <c r="AJ141" s="219"/>
    </row>
    <row r="142" spans="1:36" ht="15" x14ac:dyDescent="0.25">
      <c r="A142" s="381" t="s">
        <v>128</v>
      </c>
      <c r="B142" s="458"/>
      <c r="C142" s="459"/>
      <c r="D142" s="458"/>
      <c r="E142" s="458"/>
      <c r="F142" s="458"/>
      <c r="G142" s="458"/>
      <c r="H142" s="458"/>
      <c r="I142" s="458"/>
      <c r="J142" s="458"/>
      <c r="K142" s="458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</row>
    <row r="143" spans="1:36" ht="15" x14ac:dyDescent="0.25">
      <c r="A143" s="276" t="s">
        <v>273</v>
      </c>
      <c r="B143" s="452" t="s">
        <v>44</v>
      </c>
      <c r="C143" s="242" t="s">
        <v>405</v>
      </c>
      <c r="D143" s="277" t="s">
        <v>209</v>
      </c>
      <c r="E143" s="212">
        <v>2015</v>
      </c>
      <c r="F143" s="7">
        <f t="shared" ref="F143:F148" si="19">SUM(G143:J143)</f>
        <v>289323.7</v>
      </c>
      <c r="G143" s="7"/>
      <c r="H143" s="7">
        <f>313444.2-24120.5</f>
        <v>289323.7</v>
      </c>
      <c r="I143" s="7"/>
      <c r="J143" s="14"/>
      <c r="K143" s="277" t="s">
        <v>45</v>
      </c>
    </row>
    <row r="144" spans="1:36" ht="15" x14ac:dyDescent="0.25">
      <c r="A144" s="276"/>
      <c r="B144" s="453"/>
      <c r="C144" s="243"/>
      <c r="D144" s="277"/>
      <c r="E144" s="212">
        <v>2016</v>
      </c>
      <c r="F144" s="7">
        <f t="shared" si="19"/>
        <v>292770.7</v>
      </c>
      <c r="G144" s="7"/>
      <c r="H144" s="7">
        <f>321212.7-28442</f>
        <v>292770.7</v>
      </c>
      <c r="I144" s="7"/>
      <c r="J144" s="14"/>
      <c r="K144" s="277"/>
      <c r="M144" s="99"/>
    </row>
    <row r="145" spans="1:14" ht="15" x14ac:dyDescent="0.25">
      <c r="A145" s="276"/>
      <c r="B145" s="453"/>
      <c r="C145" s="243"/>
      <c r="D145" s="277"/>
      <c r="E145" s="212">
        <v>2017</v>
      </c>
      <c r="F145" s="7">
        <f t="shared" si="19"/>
        <v>298831.10000000003</v>
      </c>
      <c r="G145" s="7"/>
      <c r="H145" s="7">
        <f>298171.7+659.4</f>
        <v>298831.10000000003</v>
      </c>
      <c r="I145" s="7"/>
      <c r="J145" s="14"/>
      <c r="K145" s="277"/>
      <c r="L145" s="99"/>
      <c r="M145" s="106"/>
    </row>
    <row r="146" spans="1:14" ht="15" x14ac:dyDescent="0.25">
      <c r="A146" s="276"/>
      <c r="B146" s="453"/>
      <c r="C146" s="243"/>
      <c r="D146" s="277"/>
      <c r="E146" s="212">
        <v>2018</v>
      </c>
      <c r="F146" s="7">
        <f t="shared" si="19"/>
        <v>341666.3</v>
      </c>
      <c r="G146" s="7"/>
      <c r="H146" s="7">
        <f>342737.6-1071.3</f>
        <v>341666.3</v>
      </c>
      <c r="I146" s="7"/>
      <c r="J146" s="14"/>
      <c r="K146" s="277"/>
      <c r="L146" s="99"/>
      <c r="M146" s="106"/>
    </row>
    <row r="147" spans="1:14" ht="15" x14ac:dyDescent="0.25">
      <c r="A147" s="276"/>
      <c r="B147" s="453"/>
      <c r="C147" s="243"/>
      <c r="D147" s="277"/>
      <c r="E147" s="212">
        <v>2019</v>
      </c>
      <c r="F147" s="7">
        <f t="shared" si="19"/>
        <v>416246.6</v>
      </c>
      <c r="G147" s="7"/>
      <c r="H147" s="7">
        <v>416246.6</v>
      </c>
      <c r="I147" s="7"/>
      <c r="J147" s="14"/>
      <c r="K147" s="277"/>
      <c r="L147" s="99"/>
      <c r="M147" s="106"/>
    </row>
    <row r="148" spans="1:14" ht="15" x14ac:dyDescent="0.25">
      <c r="A148" s="276"/>
      <c r="B148" s="453"/>
      <c r="C148" s="243"/>
      <c r="D148" s="277"/>
      <c r="E148" s="212">
        <v>2020</v>
      </c>
      <c r="F148" s="7">
        <f t="shared" si="19"/>
        <v>437502.2</v>
      </c>
      <c r="G148" s="7"/>
      <c r="H148" s="7">
        <v>437502.2</v>
      </c>
      <c r="I148" s="7"/>
      <c r="J148" s="14"/>
      <c r="K148" s="277"/>
    </row>
    <row r="149" spans="1:14" ht="15" x14ac:dyDescent="0.25">
      <c r="A149" s="276"/>
      <c r="B149" s="453"/>
      <c r="C149" s="243"/>
      <c r="D149" s="277"/>
      <c r="E149" s="224">
        <v>2021</v>
      </c>
      <c r="F149" s="7">
        <f t="shared" ref="F149:F153" si="20">SUM(G149:J149)</f>
        <v>457835.2</v>
      </c>
      <c r="G149" s="7"/>
      <c r="H149" s="7">
        <v>457835.2</v>
      </c>
      <c r="I149" s="7"/>
      <c r="J149" s="14"/>
      <c r="K149" s="277"/>
    </row>
    <row r="150" spans="1:14" ht="15" x14ac:dyDescent="0.25">
      <c r="A150" s="276"/>
      <c r="B150" s="453"/>
      <c r="C150" s="243"/>
      <c r="D150" s="277"/>
      <c r="E150" s="224">
        <v>2022</v>
      </c>
      <c r="F150" s="7">
        <f t="shared" si="20"/>
        <v>502000</v>
      </c>
      <c r="G150" s="7"/>
      <c r="H150" s="7">
        <v>502000</v>
      </c>
      <c r="I150" s="7"/>
      <c r="J150" s="14"/>
      <c r="K150" s="277"/>
      <c r="M150" s="99"/>
    </row>
    <row r="151" spans="1:14" ht="15" x14ac:dyDescent="0.25">
      <c r="A151" s="276"/>
      <c r="B151" s="453"/>
      <c r="C151" s="243"/>
      <c r="D151" s="277"/>
      <c r="E151" s="224">
        <v>2023</v>
      </c>
      <c r="F151" s="7">
        <f t="shared" si="20"/>
        <v>525092</v>
      </c>
      <c r="G151" s="7"/>
      <c r="H151" s="7">
        <v>525092</v>
      </c>
      <c r="I151" s="7"/>
      <c r="J151" s="14"/>
      <c r="K151" s="277"/>
      <c r="L151" s="99"/>
      <c r="M151" s="106"/>
    </row>
    <row r="152" spans="1:14" ht="15" x14ac:dyDescent="0.25">
      <c r="A152" s="276"/>
      <c r="B152" s="453"/>
      <c r="C152" s="243"/>
      <c r="D152" s="277"/>
      <c r="E152" s="224">
        <v>2024</v>
      </c>
      <c r="F152" s="7">
        <f t="shared" si="20"/>
        <v>549246.19999999995</v>
      </c>
      <c r="G152" s="7"/>
      <c r="H152" s="7">
        <v>549246.19999999995</v>
      </c>
      <c r="I152" s="7"/>
      <c r="J152" s="14"/>
      <c r="K152" s="277"/>
      <c r="L152" s="99"/>
      <c r="M152" s="106"/>
    </row>
    <row r="153" spans="1:14" ht="15" x14ac:dyDescent="0.25">
      <c r="A153" s="276"/>
      <c r="B153" s="453"/>
      <c r="C153" s="243"/>
      <c r="D153" s="277"/>
      <c r="E153" s="224">
        <v>2025</v>
      </c>
      <c r="F153" s="7">
        <f t="shared" si="20"/>
        <v>574511.5</v>
      </c>
      <c r="G153" s="7"/>
      <c r="H153" s="7">
        <v>574511.5</v>
      </c>
      <c r="I153" s="7"/>
      <c r="J153" s="14"/>
      <c r="K153" s="277"/>
      <c r="L153" s="99"/>
      <c r="M153" s="106"/>
    </row>
    <row r="154" spans="1:14" ht="26.25" customHeight="1" x14ac:dyDescent="0.2">
      <c r="A154" s="276"/>
      <c r="B154" s="453"/>
      <c r="C154" s="243"/>
      <c r="D154" s="277"/>
      <c r="E154" s="18" t="s">
        <v>18</v>
      </c>
      <c r="F154" s="8">
        <f>SUM(F143:F153)</f>
        <v>4685025.5</v>
      </c>
      <c r="G154" s="8"/>
      <c r="H154" s="8">
        <f>SUM(H143:H153)</f>
        <v>4685025.5</v>
      </c>
      <c r="I154" s="8"/>
      <c r="J154" s="13"/>
      <c r="K154" s="277"/>
    </row>
    <row r="155" spans="1:14" ht="15" x14ac:dyDescent="0.25">
      <c r="A155" s="276" t="s">
        <v>46</v>
      </c>
      <c r="B155" s="452" t="s">
        <v>47</v>
      </c>
      <c r="C155" s="242" t="s">
        <v>405</v>
      </c>
      <c r="D155" s="277" t="s">
        <v>209</v>
      </c>
      <c r="E155" s="212">
        <v>2015</v>
      </c>
      <c r="F155" s="7">
        <f t="shared" ref="F155:F160" si="21">SUM(G155:J155)</f>
        <v>51438.500000000007</v>
      </c>
      <c r="G155" s="7"/>
      <c r="H155" s="7"/>
      <c r="I155" s="7">
        <f>54650+6257.8-2384.6-2000-2408.2-401.3-516.2-1759</f>
        <v>51438.500000000007</v>
      </c>
      <c r="J155" s="14"/>
      <c r="K155" s="277"/>
    </row>
    <row r="156" spans="1:14" ht="15" x14ac:dyDescent="0.25">
      <c r="A156" s="276"/>
      <c r="B156" s="453"/>
      <c r="C156" s="243"/>
      <c r="D156" s="277"/>
      <c r="E156" s="212">
        <v>2016</v>
      </c>
      <c r="F156" s="7">
        <f t="shared" si="21"/>
        <v>51482.5</v>
      </c>
      <c r="G156" s="7"/>
      <c r="H156" s="7"/>
      <c r="I156" s="7">
        <f>57382.5-5400-500</f>
        <v>51482.5</v>
      </c>
      <c r="J156" s="14"/>
      <c r="K156" s="277"/>
    </row>
    <row r="157" spans="1:14" ht="15" x14ac:dyDescent="0.25">
      <c r="A157" s="276"/>
      <c r="B157" s="453"/>
      <c r="C157" s="243"/>
      <c r="D157" s="277"/>
      <c r="E157" s="212">
        <v>2017</v>
      </c>
      <c r="F157" s="7">
        <f t="shared" si="21"/>
        <v>51797.700000000004</v>
      </c>
      <c r="G157" s="7"/>
      <c r="H157" s="7"/>
      <c r="I157" s="7">
        <f>48417.9+4379.8-1000</f>
        <v>51797.700000000004</v>
      </c>
      <c r="J157" s="14"/>
      <c r="K157" s="277"/>
      <c r="L157" s="99">
        <v>4379.8</v>
      </c>
      <c r="M157" s="106" t="s">
        <v>321</v>
      </c>
      <c r="N157" s="99"/>
    </row>
    <row r="158" spans="1:14" ht="15" x14ac:dyDescent="0.25">
      <c r="A158" s="276"/>
      <c r="B158" s="453"/>
      <c r="C158" s="243"/>
      <c r="D158" s="277"/>
      <c r="E158" s="212">
        <v>2018</v>
      </c>
      <c r="F158" s="7">
        <f t="shared" si="21"/>
        <v>68754.5</v>
      </c>
      <c r="G158" s="7"/>
      <c r="H158" s="7"/>
      <c r="I158" s="7">
        <f>61693.8+7060.7</f>
        <v>68754.5</v>
      </c>
      <c r="J158" s="14"/>
      <c r="K158" s="277"/>
      <c r="L158" s="99"/>
      <c r="M158" s="106"/>
    </row>
    <row r="159" spans="1:14" ht="15" x14ac:dyDescent="0.25">
      <c r="A159" s="276"/>
      <c r="B159" s="453"/>
      <c r="C159" s="243"/>
      <c r="D159" s="277"/>
      <c r="E159" s="212">
        <v>2019</v>
      </c>
      <c r="F159" s="7">
        <f t="shared" si="21"/>
        <v>82284.2</v>
      </c>
      <c r="G159" s="7"/>
      <c r="H159" s="7"/>
      <c r="I159" s="7">
        <f>78453+3831.2</f>
        <v>82284.2</v>
      </c>
      <c r="J159" s="14"/>
      <c r="K159" s="277"/>
      <c r="L159" s="99"/>
      <c r="M159" s="106"/>
    </row>
    <row r="160" spans="1:14" ht="15" x14ac:dyDescent="0.25">
      <c r="A160" s="276"/>
      <c r="B160" s="453"/>
      <c r="C160" s="243"/>
      <c r="D160" s="277"/>
      <c r="E160" s="212">
        <v>2020</v>
      </c>
      <c r="F160" s="7">
        <f t="shared" si="21"/>
        <v>78453</v>
      </c>
      <c r="G160" s="7"/>
      <c r="H160" s="7"/>
      <c r="I160" s="7">
        <v>78453</v>
      </c>
      <c r="J160" s="14"/>
      <c r="K160" s="277"/>
    </row>
    <row r="161" spans="1:14" ht="15" x14ac:dyDescent="0.25">
      <c r="A161" s="276"/>
      <c r="B161" s="453"/>
      <c r="C161" s="243"/>
      <c r="D161" s="277"/>
      <c r="E161" s="224">
        <v>2021</v>
      </c>
      <c r="F161" s="7">
        <f t="shared" ref="F161:F164" si="22">SUM(G161:J161)</f>
        <v>78453</v>
      </c>
      <c r="G161" s="7"/>
      <c r="H161" s="7"/>
      <c r="I161" s="7">
        <v>78453</v>
      </c>
      <c r="J161" s="14"/>
      <c r="K161" s="277"/>
    </row>
    <row r="162" spans="1:14" ht="15" x14ac:dyDescent="0.25">
      <c r="A162" s="276"/>
      <c r="B162" s="453"/>
      <c r="C162" s="243"/>
      <c r="D162" s="277"/>
      <c r="E162" s="224">
        <v>2022</v>
      </c>
      <c r="F162" s="7">
        <f t="shared" si="22"/>
        <v>81591.100000000006</v>
      </c>
      <c r="G162" s="7"/>
      <c r="H162" s="7"/>
      <c r="I162" s="7">
        <v>81591.100000000006</v>
      </c>
      <c r="J162" s="14"/>
      <c r="K162" s="277"/>
      <c r="L162" s="99">
        <v>4379.8</v>
      </c>
      <c r="M162" s="106" t="s">
        <v>321</v>
      </c>
      <c r="N162" s="99"/>
    </row>
    <row r="163" spans="1:14" ht="15" x14ac:dyDescent="0.25">
      <c r="A163" s="276"/>
      <c r="B163" s="453"/>
      <c r="C163" s="243"/>
      <c r="D163" s="277"/>
      <c r="E163" s="224">
        <v>2023</v>
      </c>
      <c r="F163" s="7">
        <f t="shared" si="22"/>
        <v>84854.7</v>
      </c>
      <c r="G163" s="7"/>
      <c r="H163" s="7"/>
      <c r="I163" s="7">
        <v>84854.7</v>
      </c>
      <c r="J163" s="14"/>
      <c r="K163" s="277"/>
      <c r="L163" s="99"/>
      <c r="M163" s="106"/>
    </row>
    <row r="164" spans="1:14" ht="15" x14ac:dyDescent="0.25">
      <c r="A164" s="276"/>
      <c r="B164" s="453"/>
      <c r="C164" s="243"/>
      <c r="D164" s="277"/>
      <c r="E164" s="224">
        <v>2024</v>
      </c>
      <c r="F164" s="7">
        <f t="shared" si="22"/>
        <v>88248.9</v>
      </c>
      <c r="G164" s="7"/>
      <c r="H164" s="7"/>
      <c r="I164" s="7">
        <v>88248.9</v>
      </c>
      <c r="J164" s="14"/>
      <c r="K164" s="277"/>
      <c r="L164" s="99"/>
      <c r="M164" s="106"/>
    </row>
    <row r="165" spans="1:14" ht="15" x14ac:dyDescent="0.25">
      <c r="A165" s="276"/>
      <c r="B165" s="453"/>
      <c r="C165" s="243"/>
      <c r="D165" s="277"/>
      <c r="E165" s="224">
        <v>2025</v>
      </c>
      <c r="F165" s="7">
        <f t="shared" ref="F165" si="23">SUM(G165:J165)</f>
        <v>91778.9</v>
      </c>
      <c r="G165" s="7"/>
      <c r="H165" s="7"/>
      <c r="I165" s="7">
        <v>91778.9</v>
      </c>
      <c r="J165" s="14"/>
      <c r="K165" s="277"/>
      <c r="L165" s="99"/>
      <c r="M165" s="106"/>
    </row>
    <row r="166" spans="1:14" ht="47.25" customHeight="1" x14ac:dyDescent="0.2">
      <c r="A166" s="276"/>
      <c r="B166" s="453"/>
      <c r="C166" s="243"/>
      <c r="D166" s="277"/>
      <c r="E166" s="18" t="s">
        <v>18</v>
      </c>
      <c r="F166" s="8">
        <f>SUM(F155:F165)</f>
        <v>809137</v>
      </c>
      <c r="G166" s="8"/>
      <c r="H166" s="8"/>
      <c r="I166" s="8">
        <f>SUM(I155:I165)</f>
        <v>809137</v>
      </c>
      <c r="J166" s="13"/>
      <c r="K166" s="277"/>
    </row>
    <row r="167" spans="1:14" x14ac:dyDescent="0.2">
      <c r="A167" s="281" t="s">
        <v>48</v>
      </c>
      <c r="B167" s="278" t="s">
        <v>49</v>
      </c>
      <c r="C167" s="242" t="s">
        <v>124</v>
      </c>
      <c r="D167" s="306" t="s">
        <v>209</v>
      </c>
      <c r="E167" s="212">
        <v>2015</v>
      </c>
      <c r="F167" s="2"/>
      <c r="G167" s="2"/>
      <c r="H167" s="2"/>
      <c r="I167" s="2"/>
      <c r="J167" s="2"/>
      <c r="K167" s="236" t="s">
        <v>50</v>
      </c>
    </row>
    <row r="168" spans="1:14" x14ac:dyDescent="0.2">
      <c r="A168" s="281"/>
      <c r="B168" s="279"/>
      <c r="C168" s="243"/>
      <c r="D168" s="307"/>
      <c r="E168" s="212">
        <v>2016</v>
      </c>
      <c r="F168" s="2"/>
      <c r="G168" s="2"/>
      <c r="H168" s="2"/>
      <c r="I168" s="2"/>
      <c r="J168" s="2"/>
      <c r="K168" s="244"/>
    </row>
    <row r="169" spans="1:14" x14ac:dyDescent="0.2">
      <c r="A169" s="281"/>
      <c r="B169" s="279"/>
      <c r="C169" s="243"/>
      <c r="D169" s="307"/>
      <c r="E169" s="212">
        <v>2017</v>
      </c>
      <c r="F169" s="2"/>
      <c r="G169" s="2"/>
      <c r="H169" s="2"/>
      <c r="I169" s="2"/>
      <c r="J169" s="2"/>
      <c r="K169" s="244"/>
    </row>
    <row r="170" spans="1:14" x14ac:dyDescent="0.2">
      <c r="A170" s="281"/>
      <c r="B170" s="279"/>
      <c r="C170" s="243"/>
      <c r="D170" s="307"/>
      <c r="E170" s="212">
        <v>2018</v>
      </c>
      <c r="F170" s="2"/>
      <c r="G170" s="2"/>
      <c r="H170" s="2"/>
      <c r="I170" s="2"/>
      <c r="J170" s="2"/>
      <c r="K170" s="244"/>
    </row>
    <row r="171" spans="1:14" x14ac:dyDescent="0.2">
      <c r="A171" s="281"/>
      <c r="B171" s="279"/>
      <c r="C171" s="243"/>
      <c r="D171" s="307"/>
      <c r="E171" s="212">
        <v>2019</v>
      </c>
      <c r="F171" s="2"/>
      <c r="G171" s="2"/>
      <c r="H171" s="2"/>
      <c r="I171" s="2"/>
      <c r="J171" s="2"/>
      <c r="K171" s="244"/>
      <c r="L171" s="99"/>
    </row>
    <row r="172" spans="1:14" x14ac:dyDescent="0.2">
      <c r="A172" s="281"/>
      <c r="B172" s="279"/>
      <c r="C172" s="243"/>
      <c r="D172" s="307"/>
      <c r="E172" s="212">
        <v>2020</v>
      </c>
      <c r="F172" s="2"/>
      <c r="G172" s="2"/>
      <c r="H172" s="2"/>
      <c r="I172" s="2"/>
      <c r="J172" s="2"/>
      <c r="K172" s="244"/>
    </row>
    <row r="173" spans="1:14" ht="92.25" customHeight="1" x14ac:dyDescent="0.2">
      <c r="A173" s="281"/>
      <c r="B173" s="279"/>
      <c r="C173" s="243"/>
      <c r="D173" s="308"/>
      <c r="E173" s="18" t="s">
        <v>18</v>
      </c>
      <c r="F173" s="2"/>
      <c r="G173" s="2"/>
      <c r="H173" s="2"/>
      <c r="I173" s="2"/>
      <c r="J173" s="2"/>
      <c r="K173" s="237"/>
    </row>
    <row r="174" spans="1:14" x14ac:dyDescent="0.2">
      <c r="A174" s="283" t="s">
        <v>274</v>
      </c>
      <c r="B174" s="454" t="s">
        <v>225</v>
      </c>
      <c r="C174" s="242" t="s">
        <v>124</v>
      </c>
      <c r="D174" s="307" t="s">
        <v>209</v>
      </c>
      <c r="E174" s="213">
        <v>2015</v>
      </c>
      <c r="F174" s="1"/>
      <c r="G174" s="1"/>
      <c r="H174" s="1"/>
      <c r="I174" s="1"/>
      <c r="J174" s="1"/>
      <c r="K174" s="244" t="s">
        <v>51</v>
      </c>
    </row>
    <row r="175" spans="1:14" x14ac:dyDescent="0.2">
      <c r="A175" s="281"/>
      <c r="B175" s="454"/>
      <c r="C175" s="243"/>
      <c r="D175" s="307"/>
      <c r="E175" s="212">
        <v>2016</v>
      </c>
      <c r="F175" s="2"/>
      <c r="G175" s="2"/>
      <c r="H175" s="2"/>
      <c r="I175" s="2"/>
      <c r="J175" s="2"/>
      <c r="K175" s="244"/>
    </row>
    <row r="176" spans="1:14" x14ac:dyDescent="0.2">
      <c r="A176" s="281"/>
      <c r="B176" s="454"/>
      <c r="C176" s="243"/>
      <c r="D176" s="307"/>
      <c r="E176" s="212">
        <v>2017</v>
      </c>
      <c r="F176" s="2"/>
      <c r="G176" s="2"/>
      <c r="H176" s="2"/>
      <c r="I176" s="2"/>
      <c r="J176" s="2"/>
      <c r="K176" s="244"/>
      <c r="L176" s="99"/>
    </row>
    <row r="177" spans="1:12" x14ac:dyDescent="0.2">
      <c r="A177" s="281"/>
      <c r="B177" s="454"/>
      <c r="C177" s="243"/>
      <c r="D177" s="307"/>
      <c r="E177" s="212">
        <v>2018</v>
      </c>
      <c r="F177" s="2"/>
      <c r="G177" s="2"/>
      <c r="H177" s="2"/>
      <c r="I177" s="2"/>
      <c r="J177" s="2"/>
      <c r="K177" s="244"/>
    </row>
    <row r="178" spans="1:12" x14ac:dyDescent="0.2">
      <c r="A178" s="281"/>
      <c r="B178" s="454"/>
      <c r="C178" s="243"/>
      <c r="D178" s="307"/>
      <c r="E178" s="212">
        <v>2019</v>
      </c>
      <c r="F178" s="2"/>
      <c r="G178" s="2"/>
      <c r="H178" s="2"/>
      <c r="I178" s="2"/>
      <c r="J178" s="2"/>
      <c r="K178" s="244"/>
    </row>
    <row r="179" spans="1:12" x14ac:dyDescent="0.2">
      <c r="A179" s="281"/>
      <c r="B179" s="454"/>
      <c r="C179" s="243"/>
      <c r="D179" s="307"/>
      <c r="E179" s="212">
        <v>2020</v>
      </c>
      <c r="F179" s="2"/>
      <c r="G179" s="2"/>
      <c r="H179" s="2"/>
      <c r="I179" s="2"/>
      <c r="J179" s="2"/>
      <c r="K179" s="244"/>
    </row>
    <row r="180" spans="1:12" ht="77.25" customHeight="1" x14ac:dyDescent="0.2">
      <c r="A180" s="281"/>
      <c r="B180" s="455"/>
      <c r="C180" s="243"/>
      <c r="D180" s="308"/>
      <c r="E180" s="18" t="s">
        <v>18</v>
      </c>
      <c r="F180" s="2"/>
      <c r="G180" s="2"/>
      <c r="H180" s="2"/>
      <c r="I180" s="2"/>
      <c r="J180" s="2"/>
      <c r="K180" s="237"/>
    </row>
    <row r="181" spans="1:12" x14ac:dyDescent="0.2">
      <c r="A181" s="281" t="s">
        <v>275</v>
      </c>
      <c r="B181" s="232" t="s">
        <v>52</v>
      </c>
      <c r="C181" s="242" t="s">
        <v>124</v>
      </c>
      <c r="D181" s="306" t="s">
        <v>209</v>
      </c>
      <c r="E181" s="212">
        <v>2015</v>
      </c>
      <c r="F181" s="443" t="s">
        <v>53</v>
      </c>
      <c r="G181" s="444"/>
      <c r="H181" s="444"/>
      <c r="I181" s="444"/>
      <c r="J181" s="445"/>
      <c r="K181" s="236" t="s">
        <v>54</v>
      </c>
    </row>
    <row r="182" spans="1:12" x14ac:dyDescent="0.2">
      <c r="A182" s="281"/>
      <c r="B182" s="456"/>
      <c r="C182" s="243"/>
      <c r="D182" s="307"/>
      <c r="E182" s="212">
        <v>2016</v>
      </c>
      <c r="F182" s="446"/>
      <c r="G182" s="447"/>
      <c r="H182" s="447"/>
      <c r="I182" s="447"/>
      <c r="J182" s="448"/>
      <c r="K182" s="244"/>
    </row>
    <row r="183" spans="1:12" x14ac:dyDescent="0.2">
      <c r="A183" s="281"/>
      <c r="B183" s="456"/>
      <c r="C183" s="243"/>
      <c r="D183" s="307"/>
      <c r="E183" s="212">
        <v>2017</v>
      </c>
      <c r="F183" s="446"/>
      <c r="G183" s="447"/>
      <c r="H183" s="447"/>
      <c r="I183" s="447"/>
      <c r="J183" s="448"/>
      <c r="K183" s="244"/>
    </row>
    <row r="184" spans="1:12" x14ac:dyDescent="0.2">
      <c r="A184" s="281"/>
      <c r="B184" s="456"/>
      <c r="C184" s="243"/>
      <c r="D184" s="307"/>
      <c r="E184" s="212">
        <v>2018</v>
      </c>
      <c r="F184" s="446"/>
      <c r="G184" s="447"/>
      <c r="H184" s="447"/>
      <c r="I184" s="447"/>
      <c r="J184" s="448"/>
      <c r="K184" s="244"/>
      <c r="L184" s="99"/>
    </row>
    <row r="185" spans="1:12" x14ac:dyDescent="0.2">
      <c r="A185" s="281"/>
      <c r="B185" s="456"/>
      <c r="C185" s="243"/>
      <c r="D185" s="307"/>
      <c r="E185" s="212">
        <v>2019</v>
      </c>
      <c r="F185" s="446"/>
      <c r="G185" s="447"/>
      <c r="H185" s="447"/>
      <c r="I185" s="447"/>
      <c r="J185" s="448"/>
      <c r="K185" s="244"/>
    </row>
    <row r="186" spans="1:12" x14ac:dyDescent="0.2">
      <c r="A186" s="281"/>
      <c r="B186" s="456"/>
      <c r="C186" s="243"/>
      <c r="D186" s="307"/>
      <c r="E186" s="212">
        <v>2020</v>
      </c>
      <c r="F186" s="446"/>
      <c r="G186" s="447"/>
      <c r="H186" s="447"/>
      <c r="I186" s="447"/>
      <c r="J186" s="448"/>
      <c r="K186" s="244"/>
    </row>
    <row r="187" spans="1:12" ht="15.75" customHeight="1" x14ac:dyDescent="0.2">
      <c r="A187" s="281"/>
      <c r="B187" s="233"/>
      <c r="C187" s="243"/>
      <c r="D187" s="308"/>
      <c r="E187" s="18" t="s">
        <v>18</v>
      </c>
      <c r="F187" s="449"/>
      <c r="G187" s="450"/>
      <c r="H187" s="450"/>
      <c r="I187" s="450"/>
      <c r="J187" s="451"/>
      <c r="K187" s="244"/>
    </row>
    <row r="188" spans="1:12" x14ac:dyDescent="0.2">
      <c r="A188" s="281" t="s">
        <v>276</v>
      </c>
      <c r="B188" s="278" t="s">
        <v>55</v>
      </c>
      <c r="C188" s="242" t="s">
        <v>124</v>
      </c>
      <c r="D188" s="306" t="s">
        <v>209</v>
      </c>
      <c r="E188" s="212">
        <v>2015</v>
      </c>
      <c r="F188" s="290" t="s">
        <v>56</v>
      </c>
      <c r="G188" s="291"/>
      <c r="H188" s="291"/>
      <c r="I188" s="291"/>
      <c r="J188" s="292"/>
      <c r="K188" s="238"/>
    </row>
    <row r="189" spans="1:12" x14ac:dyDescent="0.2">
      <c r="A189" s="281"/>
      <c r="B189" s="278"/>
      <c r="C189" s="243"/>
      <c r="D189" s="307"/>
      <c r="E189" s="212">
        <v>2016</v>
      </c>
      <c r="F189" s="293"/>
      <c r="G189" s="294"/>
      <c r="H189" s="294"/>
      <c r="I189" s="294"/>
      <c r="J189" s="295"/>
      <c r="K189" s="238"/>
    </row>
    <row r="190" spans="1:12" x14ac:dyDescent="0.2">
      <c r="A190" s="281"/>
      <c r="B190" s="278"/>
      <c r="C190" s="243"/>
      <c r="D190" s="307"/>
      <c r="E190" s="212">
        <v>2017</v>
      </c>
      <c r="F190" s="293"/>
      <c r="G190" s="294"/>
      <c r="H190" s="294"/>
      <c r="I190" s="294"/>
      <c r="J190" s="295"/>
      <c r="K190" s="238"/>
    </row>
    <row r="191" spans="1:12" x14ac:dyDescent="0.2">
      <c r="A191" s="281"/>
      <c r="B191" s="278"/>
      <c r="C191" s="243"/>
      <c r="D191" s="307"/>
      <c r="E191" s="212">
        <v>2018</v>
      </c>
      <c r="F191" s="293"/>
      <c r="G191" s="294"/>
      <c r="H191" s="294"/>
      <c r="I191" s="294"/>
      <c r="J191" s="295"/>
      <c r="K191" s="238"/>
    </row>
    <row r="192" spans="1:12" x14ac:dyDescent="0.2">
      <c r="A192" s="281"/>
      <c r="B192" s="278"/>
      <c r="C192" s="243"/>
      <c r="D192" s="307"/>
      <c r="E192" s="212">
        <v>2019</v>
      </c>
      <c r="F192" s="293"/>
      <c r="G192" s="294"/>
      <c r="H192" s="294"/>
      <c r="I192" s="294"/>
      <c r="J192" s="295"/>
      <c r="K192" s="238"/>
    </row>
    <row r="193" spans="1:32" x14ac:dyDescent="0.2">
      <c r="A193" s="281"/>
      <c r="B193" s="278"/>
      <c r="C193" s="243"/>
      <c r="D193" s="307"/>
      <c r="E193" s="212">
        <v>2020</v>
      </c>
      <c r="F193" s="296"/>
      <c r="G193" s="297"/>
      <c r="H193" s="297"/>
      <c r="I193" s="297"/>
      <c r="J193" s="298"/>
      <c r="K193" s="238"/>
    </row>
    <row r="194" spans="1:32" x14ac:dyDescent="0.2">
      <c r="A194" s="281"/>
      <c r="B194" s="278"/>
      <c r="C194" s="243"/>
      <c r="D194" s="308"/>
      <c r="E194" s="26" t="s">
        <v>18</v>
      </c>
      <c r="F194" s="220"/>
      <c r="G194" s="220"/>
      <c r="H194" s="220"/>
      <c r="I194" s="220"/>
      <c r="J194" s="220"/>
      <c r="K194" s="239"/>
    </row>
    <row r="195" spans="1:32" ht="14.25" customHeight="1" x14ac:dyDescent="0.25">
      <c r="A195" s="313" t="s">
        <v>277</v>
      </c>
      <c r="B195" s="310" t="s">
        <v>126</v>
      </c>
      <c r="C195" s="234" t="s">
        <v>405</v>
      </c>
      <c r="D195" s="236" t="s">
        <v>209</v>
      </c>
      <c r="E195" s="212">
        <v>2016</v>
      </c>
      <c r="F195" s="7">
        <f>SUM(G195:J195)</f>
        <v>12886.900000000001</v>
      </c>
      <c r="G195" s="10"/>
      <c r="H195" s="10">
        <f>13077.7-190.8</f>
        <v>12886.900000000001</v>
      </c>
      <c r="I195" s="10"/>
      <c r="J195" s="22"/>
      <c r="K195" s="236" t="s">
        <v>136</v>
      </c>
    </row>
    <row r="196" spans="1:32" ht="14.25" customHeight="1" x14ac:dyDescent="0.25">
      <c r="A196" s="314"/>
      <c r="B196" s="311"/>
      <c r="C196" s="250"/>
      <c r="D196" s="244"/>
      <c r="E196" s="212">
        <v>2017</v>
      </c>
      <c r="F196" s="7">
        <f t="shared" ref="F196:F197" si="24">SUM(G196:J196)</f>
        <v>12955</v>
      </c>
      <c r="G196" s="10"/>
      <c r="H196" s="10">
        <f>12995.9-40.9</f>
        <v>12955</v>
      </c>
      <c r="I196" s="10"/>
      <c r="J196" s="22"/>
      <c r="K196" s="244"/>
      <c r="L196" s="99"/>
    </row>
    <row r="197" spans="1:32" ht="15" customHeight="1" x14ac:dyDescent="0.25">
      <c r="A197" s="314"/>
      <c r="B197" s="311"/>
      <c r="C197" s="250"/>
      <c r="D197" s="244"/>
      <c r="E197" s="212">
        <v>2018</v>
      </c>
      <c r="F197" s="7">
        <f t="shared" si="24"/>
        <v>9816</v>
      </c>
      <c r="G197" s="10"/>
      <c r="H197" s="10">
        <f>9994.9-178.9</f>
        <v>9816</v>
      </c>
      <c r="I197" s="10"/>
      <c r="J197" s="22"/>
      <c r="K197" s="244"/>
    </row>
    <row r="198" spans="1:32" ht="13.5" customHeight="1" x14ac:dyDescent="0.25">
      <c r="A198" s="314"/>
      <c r="B198" s="311"/>
      <c r="C198" s="250"/>
      <c r="D198" s="244"/>
      <c r="E198" s="212">
        <v>2019</v>
      </c>
      <c r="F198" s="7">
        <f t="shared" ref="F198" si="25">SUM(G198:J198)</f>
        <v>9882.4</v>
      </c>
      <c r="G198" s="10"/>
      <c r="H198" s="10">
        <v>9882.4</v>
      </c>
      <c r="I198" s="10"/>
      <c r="J198" s="22"/>
      <c r="K198" s="244"/>
      <c r="L198" s="99"/>
    </row>
    <row r="199" spans="1:32" ht="16.5" customHeight="1" x14ac:dyDescent="0.25">
      <c r="A199" s="314"/>
      <c r="B199" s="311"/>
      <c r="C199" s="250"/>
      <c r="D199" s="244"/>
      <c r="E199" s="212">
        <v>2020</v>
      </c>
      <c r="F199" s="10">
        <f>H199</f>
        <v>9882.4</v>
      </c>
      <c r="G199" s="10"/>
      <c r="H199" s="10">
        <v>9882.4</v>
      </c>
      <c r="I199" s="10"/>
      <c r="J199" s="22"/>
      <c r="K199" s="244"/>
    </row>
    <row r="200" spans="1:32" ht="14.25" customHeight="1" x14ac:dyDescent="0.25">
      <c r="A200" s="314"/>
      <c r="B200" s="311"/>
      <c r="C200" s="250"/>
      <c r="D200" s="244"/>
      <c r="E200" s="224">
        <v>2021</v>
      </c>
      <c r="F200" s="7">
        <f t="shared" ref="F200:F201" si="26">SUM(G200:J200)</f>
        <v>9882.4</v>
      </c>
      <c r="G200" s="10"/>
      <c r="H200" s="10">
        <v>9882.4</v>
      </c>
      <c r="I200" s="10"/>
      <c r="J200" s="22"/>
      <c r="K200" s="244"/>
      <c r="L200" s="99"/>
    </row>
    <row r="201" spans="1:32" ht="15" customHeight="1" x14ac:dyDescent="0.25">
      <c r="A201" s="314"/>
      <c r="B201" s="311"/>
      <c r="C201" s="250"/>
      <c r="D201" s="244"/>
      <c r="E201" s="224">
        <v>2022</v>
      </c>
      <c r="F201" s="7">
        <f t="shared" si="26"/>
        <v>11000</v>
      </c>
      <c r="G201" s="10"/>
      <c r="H201" s="10">
        <v>11000</v>
      </c>
      <c r="I201" s="10"/>
      <c r="J201" s="22"/>
      <c r="K201" s="244"/>
    </row>
    <row r="202" spans="1:32" ht="13.5" customHeight="1" x14ac:dyDescent="0.25">
      <c r="A202" s="314"/>
      <c r="B202" s="311"/>
      <c r="C202" s="250"/>
      <c r="D202" s="244"/>
      <c r="E202" s="224">
        <v>2023</v>
      </c>
      <c r="F202" s="7">
        <f t="shared" ref="F202" si="27">SUM(G202:J202)</f>
        <v>11506</v>
      </c>
      <c r="G202" s="10"/>
      <c r="H202" s="10">
        <v>11506</v>
      </c>
      <c r="I202" s="10"/>
      <c r="J202" s="22"/>
      <c r="K202" s="244"/>
      <c r="L202" s="99"/>
    </row>
    <row r="203" spans="1:32" ht="16.5" customHeight="1" x14ac:dyDescent="0.25">
      <c r="A203" s="314"/>
      <c r="B203" s="311"/>
      <c r="C203" s="250"/>
      <c r="D203" s="244"/>
      <c r="E203" s="224">
        <v>2024</v>
      </c>
      <c r="F203" s="10">
        <f>H203</f>
        <v>12035.3</v>
      </c>
      <c r="G203" s="10"/>
      <c r="H203" s="10">
        <v>12035.3</v>
      </c>
      <c r="I203" s="10"/>
      <c r="J203" s="22"/>
      <c r="K203" s="244"/>
    </row>
    <row r="204" spans="1:32" ht="16.5" customHeight="1" x14ac:dyDescent="0.25">
      <c r="A204" s="314"/>
      <c r="B204" s="311"/>
      <c r="C204" s="250"/>
      <c r="D204" s="244"/>
      <c r="E204" s="224">
        <v>2025</v>
      </c>
      <c r="F204" s="10">
        <f>H204</f>
        <v>12588.9</v>
      </c>
      <c r="G204" s="10"/>
      <c r="H204" s="10">
        <v>12588.9</v>
      </c>
      <c r="I204" s="10"/>
      <c r="J204" s="22"/>
      <c r="K204" s="244"/>
    </row>
    <row r="205" spans="1:32" ht="16.5" customHeight="1" x14ac:dyDescent="0.25">
      <c r="A205" s="315"/>
      <c r="B205" s="312"/>
      <c r="C205" s="235"/>
      <c r="D205" s="237"/>
      <c r="E205" s="18" t="s">
        <v>18</v>
      </c>
      <c r="F205" s="10">
        <f>SUM(F195:F204)</f>
        <v>112435.3</v>
      </c>
      <c r="G205" s="10"/>
      <c r="H205" s="10">
        <f>SUM(H195:H204)</f>
        <v>112435.3</v>
      </c>
      <c r="I205" s="10"/>
      <c r="J205" s="22"/>
      <c r="K205" s="237"/>
      <c r="P205" s="99"/>
    </row>
    <row r="206" spans="1:32" ht="23.25" customHeight="1" thickBot="1" x14ac:dyDescent="0.25">
      <c r="A206" s="440" t="s">
        <v>187</v>
      </c>
      <c r="B206" s="441"/>
      <c r="C206" s="441"/>
      <c r="D206" s="442"/>
      <c r="E206" s="208"/>
      <c r="F206" s="145">
        <f>F194+F180+F173+F154+F166+F205</f>
        <v>5606597.7999999998</v>
      </c>
      <c r="G206" s="145"/>
      <c r="H206" s="145">
        <f>H194+H180+H173+H154+H166+H205</f>
        <v>4797460.8</v>
      </c>
      <c r="I206" s="145">
        <f>I194+I180+I173+I154+I166+I205</f>
        <v>809137</v>
      </c>
      <c r="J206" s="17"/>
      <c r="K206" s="37"/>
      <c r="L206" s="117"/>
      <c r="M206" s="99"/>
      <c r="N206" s="117"/>
      <c r="O206" s="99"/>
      <c r="P206" s="117"/>
    </row>
    <row r="207" spans="1:32" ht="25.5" customHeight="1" thickBot="1" x14ac:dyDescent="0.25">
      <c r="A207" s="299" t="s">
        <v>192</v>
      </c>
      <c r="B207" s="300"/>
      <c r="C207" s="300"/>
      <c r="D207" s="300"/>
      <c r="E207" s="165"/>
      <c r="F207" s="166">
        <f>SUM(G207:I207)</f>
        <v>6294809.6999999993</v>
      </c>
      <c r="G207" s="166"/>
      <c r="H207" s="166">
        <f>H206+H114</f>
        <v>5150594.0999999996</v>
      </c>
      <c r="I207" s="166">
        <f>I206+I114</f>
        <v>1144215.6000000001</v>
      </c>
      <c r="J207" s="97"/>
      <c r="K207" s="98"/>
      <c r="L207" s="46"/>
      <c r="M207" s="28"/>
      <c r="N207" s="46"/>
      <c r="O207" s="28"/>
      <c r="P207" s="46"/>
      <c r="Q207" s="104"/>
      <c r="R207" s="28"/>
      <c r="S207" s="104"/>
      <c r="T207" s="28"/>
      <c r="U207" s="28"/>
      <c r="V207" s="28"/>
      <c r="W207" s="28"/>
      <c r="X207" s="28"/>
      <c r="Y207" s="28"/>
      <c r="Z207" s="28"/>
      <c r="AA207" s="28"/>
      <c r="AB207" s="28"/>
    </row>
    <row r="208" spans="1:32" ht="23.25" customHeight="1" x14ac:dyDescent="0.2">
      <c r="A208" s="301" t="s">
        <v>180</v>
      </c>
      <c r="B208" s="302"/>
      <c r="C208" s="302"/>
      <c r="D208" s="302"/>
      <c r="E208" s="302"/>
      <c r="F208" s="302"/>
      <c r="G208" s="302"/>
      <c r="H208" s="302"/>
      <c r="I208" s="302"/>
      <c r="J208" s="302"/>
      <c r="K208" s="302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38"/>
      <c r="AD208" s="38"/>
      <c r="AE208" s="38"/>
      <c r="AF208" s="39"/>
    </row>
    <row r="209" spans="1:32" ht="15.75" x14ac:dyDescent="0.2">
      <c r="A209" s="303" t="s">
        <v>179</v>
      </c>
      <c r="B209" s="304"/>
      <c r="C209" s="305"/>
      <c r="D209" s="304"/>
      <c r="E209" s="304"/>
      <c r="F209" s="304"/>
      <c r="G209" s="304"/>
      <c r="H209" s="304"/>
      <c r="I209" s="304"/>
      <c r="J209" s="304"/>
      <c r="K209" s="304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1"/>
    </row>
    <row r="210" spans="1:32" ht="12.75" customHeight="1" x14ac:dyDescent="0.2">
      <c r="A210" s="309" t="s">
        <v>16</v>
      </c>
      <c r="B210" s="278" t="s">
        <v>424</v>
      </c>
      <c r="C210" s="242" t="s">
        <v>401</v>
      </c>
      <c r="D210" s="306" t="s">
        <v>392</v>
      </c>
      <c r="E210" s="212">
        <v>2015</v>
      </c>
      <c r="F210" s="14"/>
      <c r="G210" s="14"/>
      <c r="H210" s="14"/>
      <c r="I210" s="14"/>
      <c r="J210" s="14"/>
      <c r="K210" s="236" t="s">
        <v>402</v>
      </c>
    </row>
    <row r="211" spans="1:32" x14ac:dyDescent="0.2">
      <c r="A211" s="309"/>
      <c r="B211" s="279"/>
      <c r="C211" s="243"/>
      <c r="D211" s="307"/>
      <c r="E211" s="212">
        <v>2016</v>
      </c>
      <c r="F211" s="14"/>
      <c r="G211" s="14"/>
      <c r="H211" s="14"/>
      <c r="I211" s="14"/>
      <c r="J211" s="14"/>
      <c r="K211" s="244"/>
    </row>
    <row r="212" spans="1:32" x14ac:dyDescent="0.2">
      <c r="A212" s="309"/>
      <c r="B212" s="279"/>
      <c r="C212" s="243"/>
      <c r="D212" s="307"/>
      <c r="E212" s="212">
        <v>2017</v>
      </c>
      <c r="F212" s="14"/>
      <c r="G212" s="14"/>
      <c r="H212" s="14"/>
      <c r="I212" s="14"/>
      <c r="J212" s="14"/>
      <c r="K212" s="244"/>
      <c r="L212" s="99"/>
    </row>
    <row r="213" spans="1:32" x14ac:dyDescent="0.2">
      <c r="A213" s="309"/>
      <c r="B213" s="279"/>
      <c r="C213" s="243"/>
      <c r="D213" s="307"/>
      <c r="E213" s="212">
        <v>2018</v>
      </c>
      <c r="F213" s="14"/>
      <c r="G213" s="14"/>
      <c r="H213" s="14"/>
      <c r="I213" s="14"/>
      <c r="J213" s="14"/>
      <c r="K213" s="244"/>
    </row>
    <row r="214" spans="1:32" ht="15" x14ac:dyDescent="0.25">
      <c r="A214" s="309"/>
      <c r="B214" s="279"/>
      <c r="C214" s="243"/>
      <c r="D214" s="307"/>
      <c r="E214" s="212">
        <v>2019</v>
      </c>
      <c r="F214" s="7">
        <f>SUM(G214:J214)</f>
        <v>7584.4</v>
      </c>
      <c r="G214" s="14"/>
      <c r="H214" s="14">
        <f>85230-85230</f>
        <v>0</v>
      </c>
      <c r="I214" s="7">
        <f>20500-12915.6</f>
        <v>7584.4</v>
      </c>
      <c r="J214" s="14"/>
      <c r="K214" s="244"/>
    </row>
    <row r="215" spans="1:32" x14ac:dyDescent="0.2">
      <c r="A215" s="309"/>
      <c r="B215" s="279"/>
      <c r="C215" s="243"/>
      <c r="D215" s="307"/>
      <c r="E215" s="212">
        <v>2020</v>
      </c>
      <c r="F215" s="14">
        <f>SUM(G215:J215)</f>
        <v>0</v>
      </c>
      <c r="G215" s="14"/>
      <c r="H215" s="14">
        <v>0</v>
      </c>
      <c r="I215" s="14">
        <v>0</v>
      </c>
      <c r="J215" s="14"/>
      <c r="K215" s="244"/>
    </row>
    <row r="216" spans="1:32" x14ac:dyDescent="0.2">
      <c r="A216" s="309"/>
      <c r="B216" s="280"/>
      <c r="C216" s="243"/>
      <c r="D216" s="307"/>
      <c r="E216" s="224">
        <v>2021</v>
      </c>
      <c r="F216" s="14">
        <f>SUM(G216:J216)</f>
        <v>0</v>
      </c>
      <c r="G216" s="14"/>
      <c r="H216" s="14">
        <f>85230-85230</f>
        <v>0</v>
      </c>
      <c r="I216" s="14">
        <v>0</v>
      </c>
      <c r="J216" s="14"/>
      <c r="K216" s="244"/>
    </row>
    <row r="217" spans="1:32" x14ac:dyDescent="0.2">
      <c r="A217" s="309"/>
      <c r="B217" s="280"/>
      <c r="C217" s="243"/>
      <c r="D217" s="307"/>
      <c r="E217" s="224">
        <v>2022</v>
      </c>
      <c r="F217" s="14">
        <f>SUM(G217:J217)</f>
        <v>0</v>
      </c>
      <c r="G217" s="14"/>
      <c r="H217" s="14">
        <v>0</v>
      </c>
      <c r="I217" s="14">
        <v>0</v>
      </c>
      <c r="J217" s="14"/>
      <c r="K217" s="244"/>
    </row>
    <row r="218" spans="1:32" x14ac:dyDescent="0.2">
      <c r="A218" s="309"/>
      <c r="B218" s="280"/>
      <c r="C218" s="243"/>
      <c r="D218" s="308"/>
      <c r="E218" s="18" t="s">
        <v>18</v>
      </c>
      <c r="F218" s="13">
        <f>SUM(F210:F215)</f>
        <v>7584.4</v>
      </c>
      <c r="G218" s="13">
        <f>SUM(G210:G215)</f>
        <v>0</v>
      </c>
      <c r="H218" s="13">
        <f>SUM(H210:H215)</f>
        <v>0</v>
      </c>
      <c r="I218" s="13">
        <f>SUM(I210:I215)</f>
        <v>7584.4</v>
      </c>
      <c r="J218" s="14"/>
      <c r="K218" s="237"/>
    </row>
    <row r="219" spans="1:32" ht="12.75" customHeight="1" x14ac:dyDescent="0.25">
      <c r="A219" s="309" t="s">
        <v>19</v>
      </c>
      <c r="B219" s="278" t="s">
        <v>57</v>
      </c>
      <c r="C219" s="242" t="s">
        <v>58</v>
      </c>
      <c r="D219" s="306" t="s">
        <v>395</v>
      </c>
      <c r="E219" s="212">
        <v>2015</v>
      </c>
      <c r="F219" s="7">
        <f>SUM(G219:I219)</f>
        <v>11594</v>
      </c>
      <c r="G219" s="7"/>
      <c r="H219" s="7">
        <f>9200+2278</f>
        <v>11478</v>
      </c>
      <c r="I219" s="7">
        <f>92.9+23.1</f>
        <v>116</v>
      </c>
      <c r="J219" s="14"/>
      <c r="K219" s="236" t="s">
        <v>137</v>
      </c>
    </row>
    <row r="220" spans="1:32" ht="15" x14ac:dyDescent="0.25">
      <c r="A220" s="309"/>
      <c r="B220" s="279"/>
      <c r="C220" s="243"/>
      <c r="D220" s="307"/>
      <c r="E220" s="212">
        <v>2016</v>
      </c>
      <c r="F220" s="7">
        <f>SUM(G220:I220)</f>
        <v>19796.5</v>
      </c>
      <c r="G220" s="7"/>
      <c r="H220" s="7">
        <v>19593.599999999999</v>
      </c>
      <c r="I220" s="7">
        <f>198+4.9</f>
        <v>202.9</v>
      </c>
      <c r="J220" s="14"/>
      <c r="K220" s="244"/>
    </row>
    <row r="221" spans="1:32" ht="78" customHeight="1" x14ac:dyDescent="0.2">
      <c r="A221" s="309"/>
      <c r="B221" s="279"/>
      <c r="C221" s="243"/>
      <c r="D221" s="308"/>
      <c r="E221" s="18" t="s">
        <v>18</v>
      </c>
      <c r="F221" s="8">
        <f>SUM(F219:F220)</f>
        <v>31390.5</v>
      </c>
      <c r="G221" s="8"/>
      <c r="H221" s="8">
        <f>SUM(H219:H220)</f>
        <v>31071.599999999999</v>
      </c>
      <c r="I221" s="8">
        <f>SUM(I219:I220)</f>
        <v>318.89999999999998</v>
      </c>
      <c r="J221" s="14"/>
      <c r="K221" s="237"/>
    </row>
    <row r="222" spans="1:32" x14ac:dyDescent="0.2">
      <c r="A222" s="309" t="s">
        <v>59</v>
      </c>
      <c r="B222" s="278" t="s">
        <v>264</v>
      </c>
      <c r="C222" s="242" t="s">
        <v>138</v>
      </c>
      <c r="D222" s="306" t="s">
        <v>392</v>
      </c>
      <c r="E222" s="212">
        <v>2015</v>
      </c>
      <c r="F222" s="14">
        <f>SUM(G222:I222)</f>
        <v>0</v>
      </c>
      <c r="G222" s="14"/>
      <c r="H222" s="14">
        <f>19500-19500</f>
        <v>0</v>
      </c>
      <c r="I222" s="14">
        <f>197-197</f>
        <v>0</v>
      </c>
      <c r="J222" s="14"/>
      <c r="K222" s="236" t="s">
        <v>173</v>
      </c>
    </row>
    <row r="223" spans="1:32" x14ac:dyDescent="0.2">
      <c r="A223" s="309"/>
      <c r="B223" s="279"/>
      <c r="C223" s="243"/>
      <c r="D223" s="307"/>
      <c r="E223" s="212">
        <v>2016</v>
      </c>
      <c r="F223" s="14">
        <f>SUM(G223:I223)</f>
        <v>0</v>
      </c>
      <c r="G223" s="14"/>
      <c r="H223" s="14">
        <v>0</v>
      </c>
      <c r="I223" s="14">
        <v>0</v>
      </c>
      <c r="J223" s="14"/>
      <c r="K223" s="244"/>
    </row>
    <row r="224" spans="1:32" ht="15" x14ac:dyDescent="0.25">
      <c r="A224" s="309"/>
      <c r="B224" s="279"/>
      <c r="C224" s="243"/>
      <c r="D224" s="307"/>
      <c r="E224" s="212">
        <v>2017</v>
      </c>
      <c r="F224" s="7">
        <f>SUM(G224:I224)</f>
        <v>23206.5</v>
      </c>
      <c r="G224" s="7"/>
      <c r="H224" s="7">
        <v>0</v>
      </c>
      <c r="I224" s="7">
        <f>30000-6793.5</f>
        <v>23206.5</v>
      </c>
      <c r="J224" s="14"/>
      <c r="K224" s="244"/>
      <c r="L224" s="99"/>
    </row>
    <row r="225" spans="1:33" ht="15" x14ac:dyDescent="0.25">
      <c r="A225" s="309"/>
      <c r="B225" s="279"/>
      <c r="C225" s="243"/>
      <c r="D225" s="307"/>
      <c r="E225" s="212">
        <v>2018</v>
      </c>
      <c r="F225" s="7">
        <f>SUM(G225:I225)</f>
        <v>32367.100000000002</v>
      </c>
      <c r="G225" s="7"/>
      <c r="H225" s="7">
        <f>20413.7+8747.2</f>
        <v>29160.9</v>
      </c>
      <c r="I225" s="7">
        <v>3206.2</v>
      </c>
      <c r="J225" s="14"/>
      <c r="K225" s="244"/>
      <c r="L225" s="99" t="s">
        <v>356</v>
      </c>
      <c r="M225" s="99" t="s">
        <v>358</v>
      </c>
    </row>
    <row r="226" spans="1:33" ht="27.75" customHeight="1" x14ac:dyDescent="0.2">
      <c r="A226" s="309"/>
      <c r="B226" s="279"/>
      <c r="C226" s="243"/>
      <c r="D226" s="308"/>
      <c r="E226" s="18" t="s">
        <v>18</v>
      </c>
      <c r="F226" s="8">
        <f>SUM(F222:F225)</f>
        <v>55573.600000000006</v>
      </c>
      <c r="G226" s="8"/>
      <c r="H226" s="8">
        <f>SUM(H222:H225)</f>
        <v>29160.9</v>
      </c>
      <c r="I226" s="8">
        <f>SUM(I222:I225)</f>
        <v>26412.7</v>
      </c>
      <c r="J226" s="14"/>
      <c r="K226" s="237"/>
    </row>
    <row r="227" spans="1:33" ht="15" x14ac:dyDescent="0.2">
      <c r="A227" s="42" t="s">
        <v>119</v>
      </c>
      <c r="B227" s="205"/>
      <c r="C227" s="35"/>
      <c r="D227" s="43"/>
      <c r="E227" s="18"/>
      <c r="F227" s="3"/>
      <c r="G227" s="3"/>
      <c r="H227" s="3"/>
      <c r="I227" s="3"/>
      <c r="J227" s="2"/>
      <c r="K227" s="212"/>
    </row>
    <row r="228" spans="1:33" ht="15" x14ac:dyDescent="0.25">
      <c r="A228" s="309" t="s">
        <v>60</v>
      </c>
      <c r="B228" s="232" t="s">
        <v>231</v>
      </c>
      <c r="C228" s="234" t="s">
        <v>407</v>
      </c>
      <c r="D228" s="236" t="s">
        <v>391</v>
      </c>
      <c r="E228" s="212">
        <v>2015</v>
      </c>
      <c r="F228" s="7">
        <f t="shared" ref="F228:F233" si="28">SUM(G228:I228)</f>
        <v>11247</v>
      </c>
      <c r="G228" s="7"/>
      <c r="H228" s="7">
        <v>11106</v>
      </c>
      <c r="I228" s="7">
        <f>176.6-5-30.6</f>
        <v>141</v>
      </c>
      <c r="J228" s="14"/>
      <c r="K228" s="236" t="s">
        <v>139</v>
      </c>
    </row>
    <row r="229" spans="1:33" ht="15" x14ac:dyDescent="0.25">
      <c r="A229" s="309"/>
      <c r="B229" s="456"/>
      <c r="C229" s="250"/>
      <c r="D229" s="244"/>
      <c r="E229" s="212">
        <v>2016</v>
      </c>
      <c r="F229" s="7">
        <f t="shared" si="28"/>
        <v>18177.099999999995</v>
      </c>
      <c r="G229" s="7"/>
      <c r="H229" s="7">
        <v>0</v>
      </c>
      <c r="I229" s="7">
        <f>329.1+8010.2+741.4+6855.2- 5378.5-329.1+7910+38.8</f>
        <v>18177.099999999995</v>
      </c>
      <c r="J229" s="14"/>
      <c r="K229" s="244"/>
    </row>
    <row r="230" spans="1:33" ht="15" x14ac:dyDescent="0.25">
      <c r="A230" s="309"/>
      <c r="B230" s="456"/>
      <c r="C230" s="250"/>
      <c r="D230" s="244"/>
      <c r="E230" s="212">
        <v>2017</v>
      </c>
      <c r="F230" s="7">
        <f t="shared" si="28"/>
        <v>11055.7</v>
      </c>
      <c r="G230" s="7"/>
      <c r="H230" s="7">
        <v>0</v>
      </c>
      <c r="I230" s="7">
        <f>10704.2+351.5</f>
        <v>11055.7</v>
      </c>
      <c r="J230" s="14"/>
      <c r="K230" s="244"/>
      <c r="L230" s="99"/>
      <c r="O230" s="99" t="s">
        <v>330</v>
      </c>
      <c r="P230" s="99"/>
    </row>
    <row r="231" spans="1:33" x14ac:dyDescent="0.2">
      <c r="A231" s="309"/>
      <c r="B231" s="456"/>
      <c r="C231" s="250"/>
      <c r="D231" s="244"/>
      <c r="E231" s="212">
        <v>2018</v>
      </c>
      <c r="F231" s="14">
        <f t="shared" si="28"/>
        <v>0</v>
      </c>
      <c r="G231" s="14"/>
      <c r="H231" s="14">
        <f>5675-5675</f>
        <v>0</v>
      </c>
      <c r="I231" s="14">
        <f>299-299</f>
        <v>0</v>
      </c>
      <c r="J231" s="14"/>
      <c r="K231" s="244"/>
    </row>
    <row r="232" spans="1:33" x14ac:dyDescent="0.2">
      <c r="A232" s="309"/>
      <c r="B232" s="456"/>
      <c r="C232" s="250"/>
      <c r="D232" s="244"/>
      <c r="E232" s="212">
        <v>2019</v>
      </c>
      <c r="F232" s="14">
        <f t="shared" si="28"/>
        <v>38439.1</v>
      </c>
      <c r="G232" s="14"/>
      <c r="H232" s="14">
        <f>31206.5+5422.6</f>
        <v>36629.1</v>
      </c>
      <c r="I232" s="14">
        <f>1585.2+224.8</f>
        <v>1810</v>
      </c>
      <c r="J232" s="14"/>
      <c r="K232" s="244"/>
      <c r="L232" s="99"/>
    </row>
    <row r="233" spans="1:33" x14ac:dyDescent="0.2">
      <c r="A233" s="309"/>
      <c r="B233" s="456"/>
      <c r="C233" s="250"/>
      <c r="D233" s="244"/>
      <c r="E233" s="212">
        <v>2020</v>
      </c>
      <c r="F233" s="14">
        <f t="shared" si="28"/>
        <v>21328.400000000001</v>
      </c>
      <c r="G233" s="14"/>
      <c r="H233" s="14">
        <f>30035.7-9010.7</f>
        <v>21025</v>
      </c>
      <c r="I233" s="14">
        <v>303.39999999999998</v>
      </c>
      <c r="J233" s="14"/>
      <c r="K233" s="244"/>
    </row>
    <row r="234" spans="1:33" x14ac:dyDescent="0.2">
      <c r="A234" s="490"/>
      <c r="B234" s="456"/>
      <c r="C234" s="250"/>
      <c r="D234" s="244"/>
      <c r="E234" s="224">
        <v>2021</v>
      </c>
      <c r="F234" s="14">
        <f t="shared" ref="F234" si="29">SUM(G234:I234)</f>
        <v>19186.800000000003</v>
      </c>
      <c r="G234" s="14"/>
      <c r="H234" s="14">
        <f>27020-8106.1</f>
        <v>18913.900000000001</v>
      </c>
      <c r="I234" s="14">
        <v>272.89999999999998</v>
      </c>
      <c r="J234" s="14"/>
      <c r="K234" s="244"/>
    </row>
    <row r="235" spans="1:33" ht="60" customHeight="1" x14ac:dyDescent="0.2">
      <c r="A235" s="490"/>
      <c r="B235" s="456"/>
      <c r="C235" s="250"/>
      <c r="D235" s="244"/>
      <c r="E235" s="26" t="s">
        <v>18</v>
      </c>
      <c r="F235" s="9">
        <f>SUM(F228:F234)</f>
        <v>119434.09999999999</v>
      </c>
      <c r="G235" s="9"/>
      <c r="H235" s="9">
        <f>SUM(H228:H234)</f>
        <v>87674</v>
      </c>
      <c r="I235" s="9">
        <f>SUM(I228:I234)</f>
        <v>31760.1</v>
      </c>
      <c r="J235" s="22"/>
      <c r="K235" s="244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</row>
    <row r="236" spans="1:33" ht="15" x14ac:dyDescent="0.25">
      <c r="A236" s="500" t="s">
        <v>232</v>
      </c>
      <c r="B236" s="278" t="s">
        <v>251</v>
      </c>
      <c r="C236" s="242" t="s">
        <v>404</v>
      </c>
      <c r="D236" s="277" t="s">
        <v>391</v>
      </c>
      <c r="E236" s="212">
        <v>2016</v>
      </c>
      <c r="F236" s="7">
        <f t="shared" ref="F236:F238" si="30">SUM(G236:I236)</f>
        <v>63958.799999999996</v>
      </c>
      <c r="G236" s="7"/>
      <c r="H236" s="7">
        <v>63319.199999999997</v>
      </c>
      <c r="I236" s="7">
        <v>639.6</v>
      </c>
      <c r="J236" s="14"/>
      <c r="K236" s="277" t="s">
        <v>139</v>
      </c>
    </row>
    <row r="237" spans="1:33" ht="15" x14ac:dyDescent="0.25">
      <c r="A237" s="500"/>
      <c r="B237" s="278"/>
      <c r="C237" s="242"/>
      <c r="D237" s="277"/>
      <c r="E237" s="212">
        <v>2017</v>
      </c>
      <c r="F237" s="7">
        <f t="shared" si="30"/>
        <v>29803.499999999996</v>
      </c>
      <c r="G237" s="7"/>
      <c r="H237" s="7">
        <f>37157.1-7676.9</f>
        <v>29480.199999999997</v>
      </c>
      <c r="I237" s="7">
        <f>400.8-77.5</f>
        <v>323.3</v>
      </c>
      <c r="J237" s="14"/>
      <c r="K237" s="277"/>
      <c r="L237" s="99" t="s">
        <v>360</v>
      </c>
      <c r="M237" s="99"/>
      <c r="O237" s="125" t="s">
        <v>361</v>
      </c>
      <c r="P237" s="109"/>
      <c r="Q237" s="112"/>
    </row>
    <row r="238" spans="1:33" ht="15" x14ac:dyDescent="0.25">
      <c r="A238" s="500"/>
      <c r="B238" s="278"/>
      <c r="C238" s="242"/>
      <c r="D238" s="277"/>
      <c r="E238" s="212">
        <v>2018</v>
      </c>
      <c r="F238" s="7">
        <f t="shared" si="30"/>
        <v>428.1</v>
      </c>
      <c r="G238" s="7"/>
      <c r="H238" s="7">
        <v>428.1</v>
      </c>
      <c r="I238" s="7"/>
      <c r="J238" s="14"/>
      <c r="K238" s="277"/>
      <c r="L238" s="99"/>
      <c r="M238" s="99"/>
      <c r="O238" s="104"/>
      <c r="P238" s="28"/>
      <c r="Q238" s="28"/>
    </row>
    <row r="239" spans="1:33" ht="109.5" customHeight="1" x14ac:dyDescent="0.2">
      <c r="A239" s="500"/>
      <c r="B239" s="278"/>
      <c r="C239" s="242"/>
      <c r="D239" s="277"/>
      <c r="E239" s="18" t="s">
        <v>18</v>
      </c>
      <c r="F239" s="8">
        <f>SUM(F236:F238)</f>
        <v>94190.399999999994</v>
      </c>
      <c r="G239" s="8"/>
      <c r="H239" s="8">
        <f t="shared" ref="H239:I239" si="31">SUM(H236:H238)</f>
        <v>93227.5</v>
      </c>
      <c r="I239" s="8">
        <f t="shared" si="31"/>
        <v>962.90000000000009</v>
      </c>
      <c r="J239" s="14"/>
      <c r="K239" s="277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</row>
    <row r="240" spans="1:33" ht="15" x14ac:dyDescent="0.25">
      <c r="A240" s="501" t="s">
        <v>234</v>
      </c>
      <c r="B240" s="456" t="s">
        <v>247</v>
      </c>
      <c r="C240" s="250" t="s">
        <v>233</v>
      </c>
      <c r="D240" s="244" t="s">
        <v>391</v>
      </c>
      <c r="E240" s="213">
        <v>2017</v>
      </c>
      <c r="F240" s="143">
        <f t="shared" ref="F240" si="32">SUM(G240:I240)</f>
        <v>18085.100000000002</v>
      </c>
      <c r="G240" s="143"/>
      <c r="H240" s="143">
        <f>22240.4-4343</f>
        <v>17897.400000000001</v>
      </c>
      <c r="I240" s="143">
        <f>224.7-37</f>
        <v>187.7</v>
      </c>
      <c r="J240" s="12"/>
      <c r="K240" s="244" t="s">
        <v>139</v>
      </c>
      <c r="L240" s="99" t="s">
        <v>362</v>
      </c>
      <c r="N240" s="99"/>
    </row>
    <row r="241" spans="1:33" ht="122.25" customHeight="1" x14ac:dyDescent="0.2">
      <c r="A241" s="231"/>
      <c r="B241" s="233"/>
      <c r="C241" s="235"/>
      <c r="D241" s="237"/>
      <c r="E241" s="26" t="s">
        <v>18</v>
      </c>
      <c r="F241" s="9">
        <f>SUM(F240:F240)</f>
        <v>18085.100000000002</v>
      </c>
      <c r="G241" s="9"/>
      <c r="H241" s="9">
        <f>SUM(H240:H240)</f>
        <v>17897.400000000001</v>
      </c>
      <c r="I241" s="9">
        <f>SUM(I240:I240)</f>
        <v>187.7</v>
      </c>
      <c r="J241" s="22"/>
      <c r="K241" s="237"/>
      <c r="L241" s="124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</row>
    <row r="242" spans="1:33" ht="15" x14ac:dyDescent="0.25">
      <c r="A242" s="230" t="s">
        <v>265</v>
      </c>
      <c r="B242" s="232" t="s">
        <v>397</v>
      </c>
      <c r="C242" s="234" t="s">
        <v>138</v>
      </c>
      <c r="D242" s="236" t="s">
        <v>391</v>
      </c>
      <c r="E242" s="212">
        <v>2017</v>
      </c>
      <c r="F242" s="7">
        <f t="shared" ref="F242:F243" si="33">SUM(G242:I242)</f>
        <v>5818.9</v>
      </c>
      <c r="G242" s="7"/>
      <c r="H242" s="7">
        <v>5760.7</v>
      </c>
      <c r="I242" s="7">
        <v>58.2</v>
      </c>
      <c r="J242" s="14"/>
      <c r="K242" s="236" t="s">
        <v>139</v>
      </c>
      <c r="L242" s="104" t="s">
        <v>339</v>
      </c>
    </row>
    <row r="243" spans="1:33" ht="15" x14ac:dyDescent="0.25">
      <c r="A243" s="501"/>
      <c r="B243" s="456"/>
      <c r="C243" s="250"/>
      <c r="D243" s="244"/>
      <c r="E243" s="220">
        <v>2018</v>
      </c>
      <c r="F243" s="7">
        <f t="shared" si="33"/>
        <v>7447.2</v>
      </c>
      <c r="G243" s="10"/>
      <c r="H243" s="10">
        <v>6829</v>
      </c>
      <c r="I243" s="10">
        <f>492.7+125.5</f>
        <v>618.20000000000005</v>
      </c>
      <c r="J243" s="22"/>
      <c r="K243" s="244"/>
      <c r="L243" s="104"/>
    </row>
    <row r="244" spans="1:33" ht="139.5" customHeight="1" x14ac:dyDescent="0.2">
      <c r="A244" s="231"/>
      <c r="B244" s="233"/>
      <c r="C244" s="235"/>
      <c r="D244" s="237"/>
      <c r="E244" s="26" t="s">
        <v>18</v>
      </c>
      <c r="F244" s="9">
        <f>SUM(F242:F243)</f>
        <v>13266.099999999999</v>
      </c>
      <c r="G244" s="9"/>
      <c r="H244" s="9">
        <f t="shared" ref="H244:I244" si="34">SUM(H242:H243)</f>
        <v>12589.7</v>
      </c>
      <c r="I244" s="9">
        <f t="shared" si="34"/>
        <v>676.40000000000009</v>
      </c>
      <c r="J244" s="22"/>
      <c r="K244" s="237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</row>
    <row r="245" spans="1:33" ht="33" customHeight="1" x14ac:dyDescent="0.25">
      <c r="A245" s="230" t="s">
        <v>327</v>
      </c>
      <c r="B245" s="232" t="s">
        <v>363</v>
      </c>
      <c r="C245" s="234" t="s">
        <v>233</v>
      </c>
      <c r="D245" s="236" t="s">
        <v>391</v>
      </c>
      <c r="E245" s="212">
        <v>2017</v>
      </c>
      <c r="F245" s="7">
        <f t="shared" ref="F245" si="35">SUM(G245:I245)</f>
        <v>2615.6000000000004</v>
      </c>
      <c r="G245" s="7"/>
      <c r="H245" s="7">
        <v>2596.3000000000002</v>
      </c>
      <c r="I245" s="7">
        <v>19.3</v>
      </c>
      <c r="J245" s="14"/>
      <c r="K245" s="236" t="s">
        <v>139</v>
      </c>
      <c r="L245" s="104" t="s">
        <v>339</v>
      </c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</row>
    <row r="246" spans="1:33" ht="149.25" customHeight="1" x14ac:dyDescent="0.2">
      <c r="A246" s="231"/>
      <c r="B246" s="233"/>
      <c r="C246" s="235"/>
      <c r="D246" s="237"/>
      <c r="E246" s="26" t="s">
        <v>18</v>
      </c>
      <c r="F246" s="9">
        <f>SUM(F245:F245)</f>
        <v>2615.6000000000004</v>
      </c>
      <c r="G246" s="9"/>
      <c r="H246" s="9">
        <f>SUM(H245:H245)</f>
        <v>2596.3000000000002</v>
      </c>
      <c r="I246" s="9">
        <f>SUM(I245:I245)</f>
        <v>19.3</v>
      </c>
      <c r="J246" s="22"/>
      <c r="K246" s="237"/>
      <c r="L246" s="104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</row>
    <row r="247" spans="1:33" ht="33" customHeight="1" x14ac:dyDescent="0.25">
      <c r="A247" s="230" t="s">
        <v>396</v>
      </c>
      <c r="B247" s="232" t="s">
        <v>398</v>
      </c>
      <c r="C247" s="234">
        <v>2018</v>
      </c>
      <c r="D247" s="236" t="s">
        <v>391</v>
      </c>
      <c r="E247" s="212">
        <v>2018</v>
      </c>
      <c r="F247" s="7">
        <f t="shared" ref="F247" si="36">SUM(G247:I247)</f>
        <v>25000</v>
      </c>
      <c r="G247" s="7"/>
      <c r="H247" s="7">
        <v>24750</v>
      </c>
      <c r="I247" s="7">
        <v>250</v>
      </c>
      <c r="J247" s="14"/>
      <c r="K247" s="236" t="s">
        <v>139</v>
      </c>
      <c r="L247" s="104" t="s">
        <v>339</v>
      </c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</row>
    <row r="248" spans="1:33" ht="133.5" customHeight="1" x14ac:dyDescent="0.2">
      <c r="A248" s="231"/>
      <c r="B248" s="233"/>
      <c r="C248" s="235"/>
      <c r="D248" s="237"/>
      <c r="E248" s="26" t="s">
        <v>18</v>
      </c>
      <c r="F248" s="9">
        <f>SUM(F247:F247)</f>
        <v>25000</v>
      </c>
      <c r="G248" s="9"/>
      <c r="H248" s="9">
        <f>SUM(H247:H247)</f>
        <v>24750</v>
      </c>
      <c r="I248" s="9">
        <f>SUM(I247:I247)</f>
        <v>250</v>
      </c>
      <c r="J248" s="22"/>
      <c r="K248" s="237"/>
      <c r="L248" s="104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</row>
    <row r="249" spans="1:33" ht="14.25" customHeight="1" x14ac:dyDescent="0.2">
      <c r="A249" s="381" t="s">
        <v>208</v>
      </c>
      <c r="B249" s="342"/>
      <c r="C249" s="342"/>
      <c r="D249" s="342"/>
      <c r="E249" s="342"/>
      <c r="F249" s="342"/>
      <c r="G249" s="342"/>
      <c r="H249" s="342"/>
      <c r="I249" s="342"/>
      <c r="J249" s="342"/>
      <c r="K249" s="342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28"/>
    </row>
    <row r="250" spans="1:33" ht="15" x14ac:dyDescent="0.25">
      <c r="A250" s="309" t="s">
        <v>116</v>
      </c>
      <c r="B250" s="240" t="s">
        <v>422</v>
      </c>
      <c r="C250" s="234" t="s">
        <v>407</v>
      </c>
      <c r="D250" s="236" t="s">
        <v>391</v>
      </c>
      <c r="E250" s="212">
        <v>2015</v>
      </c>
      <c r="F250" s="7">
        <f>SUM(G250:I250)</f>
        <v>3333.3</v>
      </c>
      <c r="G250" s="7"/>
      <c r="H250" s="7">
        <v>3300</v>
      </c>
      <c r="I250" s="7">
        <v>33.299999999999997</v>
      </c>
      <c r="J250" s="14"/>
      <c r="K250" s="236" t="s">
        <v>139</v>
      </c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</row>
    <row r="251" spans="1:33" ht="15" x14ac:dyDescent="0.25">
      <c r="A251" s="309"/>
      <c r="B251" s="241"/>
      <c r="C251" s="250"/>
      <c r="D251" s="244"/>
      <c r="E251" s="212">
        <v>2016</v>
      </c>
      <c r="F251" s="7">
        <f>SUM(G251:I251)</f>
        <v>7820.0999999999995</v>
      </c>
      <c r="G251" s="7"/>
      <c r="H251" s="7">
        <f>0+7375.9</f>
        <v>7375.9</v>
      </c>
      <c r="I251" s="7">
        <f>369.7+74.5</f>
        <v>444.2</v>
      </c>
      <c r="J251" s="14"/>
      <c r="K251" s="244"/>
    </row>
    <row r="252" spans="1:33" ht="15" x14ac:dyDescent="0.25">
      <c r="A252" s="309"/>
      <c r="B252" s="241"/>
      <c r="C252" s="250"/>
      <c r="D252" s="244"/>
      <c r="E252" s="212">
        <v>2017</v>
      </c>
      <c r="F252" s="7">
        <f>SUM(G252:I252)</f>
        <v>3699.9</v>
      </c>
      <c r="G252" s="7"/>
      <c r="H252" s="7">
        <v>3662.9</v>
      </c>
      <c r="I252" s="7">
        <v>37</v>
      </c>
      <c r="J252" s="14"/>
      <c r="K252" s="244"/>
      <c r="L252" s="4" t="s">
        <v>364</v>
      </c>
    </row>
    <row r="253" spans="1:33" ht="15" x14ac:dyDescent="0.25">
      <c r="A253" s="309"/>
      <c r="B253" s="241"/>
      <c r="C253" s="250"/>
      <c r="D253" s="244"/>
      <c r="E253" s="212">
        <v>2018</v>
      </c>
      <c r="F253" s="7">
        <f t="shared" ref="F253:F256" si="37">SUM(G253:I253)</f>
        <v>0</v>
      </c>
      <c r="G253" s="14"/>
      <c r="H253" s="7">
        <v>0</v>
      </c>
      <c r="I253" s="7">
        <v>0</v>
      </c>
      <c r="J253" s="14"/>
      <c r="K253" s="244"/>
    </row>
    <row r="254" spans="1:33" ht="15" x14ac:dyDescent="0.25">
      <c r="A254" s="309"/>
      <c r="B254" s="241"/>
      <c r="C254" s="250"/>
      <c r="D254" s="244"/>
      <c r="E254" s="212">
        <v>2019</v>
      </c>
      <c r="F254" s="7">
        <f t="shared" si="37"/>
        <v>1300.7</v>
      </c>
      <c r="G254" s="14"/>
      <c r="H254" s="7">
        <v>1287.7</v>
      </c>
      <c r="I254" s="7">
        <v>13</v>
      </c>
      <c r="J254" s="14"/>
      <c r="K254" s="244"/>
    </row>
    <row r="255" spans="1:33" ht="15" x14ac:dyDescent="0.25">
      <c r="A255" s="309"/>
      <c r="B255" s="241"/>
      <c r="C255" s="250"/>
      <c r="D255" s="244"/>
      <c r="E255" s="212">
        <v>2020</v>
      </c>
      <c r="F255" s="7">
        <f t="shared" si="37"/>
        <v>0</v>
      </c>
      <c r="G255" s="14"/>
      <c r="H255" s="7">
        <v>0</v>
      </c>
      <c r="I255" s="7">
        <v>0</v>
      </c>
      <c r="J255" s="14"/>
      <c r="K255" s="244"/>
    </row>
    <row r="256" spans="1:33" ht="15" x14ac:dyDescent="0.25">
      <c r="A256" s="309"/>
      <c r="B256" s="241"/>
      <c r="C256" s="250"/>
      <c r="D256" s="244"/>
      <c r="E256" s="224">
        <v>2021</v>
      </c>
      <c r="F256" s="7">
        <f t="shared" si="37"/>
        <v>0</v>
      </c>
      <c r="G256" s="14"/>
      <c r="H256" s="7">
        <v>0</v>
      </c>
      <c r="I256" s="7">
        <v>0</v>
      </c>
      <c r="J256" s="14"/>
      <c r="K256" s="244"/>
    </row>
    <row r="257" spans="1:32" ht="65.25" customHeight="1" x14ac:dyDescent="0.2">
      <c r="A257" s="309"/>
      <c r="B257" s="241"/>
      <c r="C257" s="235"/>
      <c r="D257" s="237"/>
      <c r="E257" s="18" t="s">
        <v>18</v>
      </c>
      <c r="F257" s="8">
        <f>SUM(F250:F256)</f>
        <v>16154</v>
      </c>
      <c r="G257" s="8"/>
      <c r="H257" s="8">
        <f>SUM(H250:H256)</f>
        <v>15626.5</v>
      </c>
      <c r="I257" s="8">
        <f>SUM(I250:I256)</f>
        <v>527.5</v>
      </c>
      <c r="J257" s="14"/>
      <c r="K257" s="237"/>
    </row>
    <row r="258" spans="1:32" ht="15" customHeight="1" x14ac:dyDescent="0.25">
      <c r="A258" s="276" t="s">
        <v>266</v>
      </c>
      <c r="B258" s="240" t="s">
        <v>236</v>
      </c>
      <c r="C258" s="242" t="s">
        <v>406</v>
      </c>
      <c r="D258" s="277" t="s">
        <v>209</v>
      </c>
      <c r="E258" s="212">
        <v>2016</v>
      </c>
      <c r="F258" s="7">
        <f>G258+H258+I258</f>
        <v>10976.3</v>
      </c>
      <c r="G258" s="8"/>
      <c r="H258" s="8"/>
      <c r="I258" s="7">
        <f>5500+3899.9+1247.3+329.1</f>
        <v>10976.3</v>
      </c>
      <c r="J258" s="14"/>
      <c r="K258" s="277" t="s">
        <v>135</v>
      </c>
    </row>
    <row r="259" spans="1:32" ht="13.5" customHeight="1" x14ac:dyDescent="0.25">
      <c r="A259" s="276"/>
      <c r="B259" s="240"/>
      <c r="C259" s="242"/>
      <c r="D259" s="277"/>
      <c r="E259" s="212">
        <v>2017</v>
      </c>
      <c r="F259" s="7">
        <f>G259+H259+I259</f>
        <v>6064</v>
      </c>
      <c r="G259" s="8"/>
      <c r="H259" s="8"/>
      <c r="I259" s="7">
        <f>6314-250</f>
        <v>6064</v>
      </c>
      <c r="J259" s="14"/>
      <c r="K259" s="277"/>
      <c r="L259" s="218"/>
      <c r="M259" s="319"/>
      <c r="N259" s="319"/>
      <c r="O259" s="319"/>
      <c r="P259" s="99" t="s">
        <v>237</v>
      </c>
    </row>
    <row r="260" spans="1:32" ht="18.75" customHeight="1" x14ac:dyDescent="0.25">
      <c r="A260" s="276"/>
      <c r="B260" s="240"/>
      <c r="C260" s="242"/>
      <c r="D260" s="277"/>
      <c r="E260" s="212">
        <v>2018</v>
      </c>
      <c r="F260" s="7">
        <f>G260+H260+I260</f>
        <v>1350</v>
      </c>
      <c r="G260" s="8"/>
      <c r="H260" s="8"/>
      <c r="I260" s="7">
        <v>1350</v>
      </c>
      <c r="J260" s="14"/>
      <c r="K260" s="277"/>
      <c r="L260" s="99"/>
      <c r="M260" s="99" t="s">
        <v>239</v>
      </c>
    </row>
    <row r="261" spans="1:32" ht="16.5" customHeight="1" x14ac:dyDescent="0.25">
      <c r="A261" s="276"/>
      <c r="B261" s="240"/>
      <c r="C261" s="242"/>
      <c r="D261" s="277"/>
      <c r="E261" s="212">
        <v>2019</v>
      </c>
      <c r="F261" s="7">
        <f>G261+H261+I261</f>
        <v>1280</v>
      </c>
      <c r="G261" s="8"/>
      <c r="H261" s="8"/>
      <c r="I261" s="7">
        <v>1280</v>
      </c>
      <c r="J261" s="14"/>
      <c r="K261" s="277"/>
      <c r="L261" s="99"/>
      <c r="M261" s="99" t="s">
        <v>240</v>
      </c>
    </row>
    <row r="262" spans="1:32" ht="15.75" customHeight="1" x14ac:dyDescent="0.25">
      <c r="A262" s="276"/>
      <c r="B262" s="240"/>
      <c r="C262" s="242"/>
      <c r="D262" s="277"/>
      <c r="E262" s="212">
        <v>2020</v>
      </c>
      <c r="F262" s="7">
        <f>G262+H262+I262</f>
        <v>580</v>
      </c>
      <c r="G262" s="7"/>
      <c r="H262" s="7"/>
      <c r="I262" s="7">
        <v>580</v>
      </c>
      <c r="J262" s="14"/>
      <c r="K262" s="277"/>
    </row>
    <row r="263" spans="1:32" ht="15.75" customHeight="1" x14ac:dyDescent="0.25">
      <c r="A263" s="276"/>
      <c r="B263" s="240"/>
      <c r="C263" s="242"/>
      <c r="D263" s="277"/>
      <c r="E263" s="224">
        <v>2021</v>
      </c>
      <c r="F263" s="7">
        <v>0</v>
      </c>
      <c r="G263" s="7"/>
      <c r="H263" s="7"/>
      <c r="I263" s="7">
        <v>0</v>
      </c>
      <c r="J263" s="14"/>
      <c r="K263" s="277"/>
    </row>
    <row r="264" spans="1:32" ht="16.5" customHeight="1" x14ac:dyDescent="0.2">
      <c r="A264" s="276"/>
      <c r="B264" s="240"/>
      <c r="C264" s="242"/>
      <c r="D264" s="277"/>
      <c r="E264" s="18" t="s">
        <v>18</v>
      </c>
      <c r="F264" s="8">
        <f>SUM(F258:F263)</f>
        <v>20250.3</v>
      </c>
      <c r="G264" s="8"/>
      <c r="H264" s="8">
        <v>0</v>
      </c>
      <c r="I264" s="8">
        <f>SUM(I258:I263)</f>
        <v>20250.3</v>
      </c>
      <c r="J264" s="14"/>
      <c r="K264" s="277"/>
    </row>
    <row r="265" spans="1:32" ht="15" customHeight="1" x14ac:dyDescent="0.2">
      <c r="A265" s="381" t="s">
        <v>393</v>
      </c>
      <c r="B265" s="513"/>
      <c r="C265" s="513"/>
      <c r="D265" s="513"/>
      <c r="E265" s="513"/>
      <c r="F265" s="513"/>
      <c r="G265" s="513"/>
      <c r="H265" s="513"/>
      <c r="I265" s="513"/>
      <c r="J265" s="513"/>
      <c r="K265" s="513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  <c r="AA265" s="45"/>
      <c r="AB265" s="45"/>
      <c r="AC265" s="45"/>
      <c r="AD265" s="45"/>
      <c r="AE265" s="45"/>
      <c r="AF265" s="45"/>
    </row>
    <row r="266" spans="1:32" ht="12.75" customHeight="1" x14ac:dyDescent="0.25">
      <c r="A266" s="276" t="s">
        <v>269</v>
      </c>
      <c r="B266" s="240" t="s">
        <v>301</v>
      </c>
      <c r="C266" s="242" t="s">
        <v>408</v>
      </c>
      <c r="D266" s="277" t="s">
        <v>209</v>
      </c>
      <c r="E266" s="212">
        <v>2015</v>
      </c>
      <c r="F266" s="7">
        <f t="shared" ref="F266:F271" si="38">SUM(G266:I266)</f>
        <v>28178.2</v>
      </c>
      <c r="G266" s="7"/>
      <c r="H266" s="7"/>
      <c r="I266" s="7">
        <f>27846.2+850-518</f>
        <v>28178.2</v>
      </c>
      <c r="J266" s="14"/>
      <c r="K266" s="236" t="s">
        <v>134</v>
      </c>
      <c r="L266" s="104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</row>
    <row r="267" spans="1:32" ht="12.75" customHeight="1" x14ac:dyDescent="0.25">
      <c r="A267" s="276"/>
      <c r="B267" s="241"/>
      <c r="C267" s="242"/>
      <c r="D267" s="277"/>
      <c r="E267" s="212">
        <v>2016</v>
      </c>
      <c r="F267" s="7">
        <f t="shared" si="38"/>
        <v>27397.3</v>
      </c>
      <c r="G267" s="7"/>
      <c r="H267" s="7"/>
      <c r="I267" s="7">
        <f>29107-180-453.2-1076.5</f>
        <v>27397.3</v>
      </c>
      <c r="J267" s="14"/>
      <c r="K267" s="244"/>
      <c r="L267" s="46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</row>
    <row r="268" spans="1:32" ht="12.75" customHeight="1" x14ac:dyDescent="0.25">
      <c r="A268" s="276"/>
      <c r="B268" s="241"/>
      <c r="C268" s="242"/>
      <c r="D268" s="277"/>
      <c r="E268" s="212">
        <v>2017</v>
      </c>
      <c r="F268" s="7">
        <f t="shared" si="38"/>
        <v>60180.4</v>
      </c>
      <c r="G268" s="7"/>
      <c r="H268" s="7"/>
      <c r="I268" s="7">
        <f>28167.4+27751.9+4261.1</f>
        <v>60180.4</v>
      </c>
      <c r="J268" s="14"/>
      <c r="K268" s="244"/>
      <c r="L268" s="104"/>
      <c r="M268" s="104" t="s">
        <v>354</v>
      </c>
      <c r="N268" s="28"/>
      <c r="O268" s="104" t="s">
        <v>350</v>
      </c>
      <c r="P268" s="104">
        <v>861.1</v>
      </c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</row>
    <row r="269" spans="1:32" ht="12.75" customHeight="1" x14ac:dyDescent="0.25">
      <c r="A269" s="276"/>
      <c r="B269" s="241"/>
      <c r="C269" s="242"/>
      <c r="D269" s="277"/>
      <c r="E269" s="212">
        <v>2018</v>
      </c>
      <c r="F269" s="7">
        <f t="shared" si="38"/>
        <v>66992.800000000003</v>
      </c>
      <c r="G269" s="7"/>
      <c r="H269" s="7">
        <f>1042.9-298.4</f>
        <v>744.50000000000011</v>
      </c>
      <c r="I269" s="7">
        <f>64246.1+2002.2</f>
        <v>66248.3</v>
      </c>
      <c r="J269" s="14"/>
      <c r="K269" s="244"/>
      <c r="L269" s="104"/>
      <c r="M269" s="104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</row>
    <row r="270" spans="1:32" ht="12.75" customHeight="1" x14ac:dyDescent="0.25">
      <c r="A270" s="276"/>
      <c r="B270" s="241"/>
      <c r="C270" s="242"/>
      <c r="D270" s="277"/>
      <c r="E270" s="212">
        <v>2019</v>
      </c>
      <c r="F270" s="7">
        <f t="shared" si="38"/>
        <v>87960</v>
      </c>
      <c r="G270" s="7"/>
      <c r="H270" s="7">
        <v>1164.3</v>
      </c>
      <c r="I270" s="7">
        <f>71240+15555.7</f>
        <v>86795.7</v>
      </c>
      <c r="J270" s="14"/>
      <c r="K270" s="244"/>
      <c r="L270" s="104"/>
      <c r="M270" s="104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</row>
    <row r="271" spans="1:32" ht="12.75" customHeight="1" x14ac:dyDescent="0.25">
      <c r="A271" s="276"/>
      <c r="B271" s="241"/>
      <c r="C271" s="242"/>
      <c r="D271" s="277"/>
      <c r="E271" s="212">
        <v>2020</v>
      </c>
      <c r="F271" s="7">
        <f t="shared" si="38"/>
        <v>30935.200000000001</v>
      </c>
      <c r="G271" s="7"/>
      <c r="H271" s="7">
        <v>1164.3</v>
      </c>
      <c r="I271" s="7">
        <v>29770.9</v>
      </c>
      <c r="J271" s="14"/>
      <c r="K271" s="244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</row>
    <row r="272" spans="1:32" ht="12.75" customHeight="1" x14ac:dyDescent="0.25">
      <c r="A272" s="276"/>
      <c r="B272" s="241"/>
      <c r="C272" s="242"/>
      <c r="D272" s="277"/>
      <c r="E272" s="224">
        <v>2021</v>
      </c>
      <c r="F272" s="7">
        <f t="shared" ref="F272:F275" si="39">SUM(G272:I272)</f>
        <v>11026.099999999999</v>
      </c>
      <c r="G272" s="7"/>
      <c r="H272" s="7">
        <v>1164.3</v>
      </c>
      <c r="I272" s="7">
        <v>9861.7999999999993</v>
      </c>
      <c r="J272" s="14"/>
      <c r="K272" s="244"/>
      <c r="L272" s="104"/>
      <c r="M272" s="104" t="s">
        <v>354</v>
      </c>
      <c r="N272" s="28"/>
      <c r="O272" s="104" t="s">
        <v>350</v>
      </c>
      <c r="P272" s="104">
        <v>861.1</v>
      </c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</row>
    <row r="273" spans="1:32" ht="12.75" customHeight="1" x14ac:dyDescent="0.25">
      <c r="A273" s="276"/>
      <c r="B273" s="241"/>
      <c r="C273" s="242"/>
      <c r="D273" s="277"/>
      <c r="E273" s="224">
        <v>2022</v>
      </c>
      <c r="F273" s="7">
        <f t="shared" si="39"/>
        <v>11556.3</v>
      </c>
      <c r="G273" s="7"/>
      <c r="H273" s="7">
        <v>1300</v>
      </c>
      <c r="I273" s="7">
        <v>10256.299999999999</v>
      </c>
      <c r="J273" s="14"/>
      <c r="K273" s="244"/>
      <c r="L273" s="104"/>
      <c r="M273" s="104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</row>
    <row r="274" spans="1:32" ht="12.75" customHeight="1" x14ac:dyDescent="0.25">
      <c r="A274" s="276"/>
      <c r="B274" s="241"/>
      <c r="C274" s="242"/>
      <c r="D274" s="277"/>
      <c r="E274" s="224">
        <v>2023</v>
      </c>
      <c r="F274" s="7">
        <f t="shared" si="39"/>
        <v>12026.4</v>
      </c>
      <c r="G274" s="7"/>
      <c r="H274" s="7">
        <v>1359.8</v>
      </c>
      <c r="I274" s="7">
        <v>10666.6</v>
      </c>
      <c r="J274" s="14"/>
      <c r="K274" s="244"/>
      <c r="L274" s="104"/>
      <c r="M274" s="104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</row>
    <row r="275" spans="1:32" ht="12.75" customHeight="1" x14ac:dyDescent="0.25">
      <c r="A275" s="276"/>
      <c r="B275" s="241"/>
      <c r="C275" s="242"/>
      <c r="D275" s="277"/>
      <c r="E275" s="224">
        <v>2024</v>
      </c>
      <c r="F275" s="7">
        <f t="shared" si="39"/>
        <v>12515.699999999999</v>
      </c>
      <c r="G275" s="7"/>
      <c r="H275" s="7">
        <v>1422.4</v>
      </c>
      <c r="I275" s="7">
        <v>11093.3</v>
      </c>
      <c r="J275" s="14"/>
      <c r="K275" s="244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</row>
    <row r="276" spans="1:32" ht="12.75" customHeight="1" x14ac:dyDescent="0.25">
      <c r="A276" s="276"/>
      <c r="B276" s="241"/>
      <c r="C276" s="242"/>
      <c r="D276" s="277"/>
      <c r="E276" s="224">
        <v>2025</v>
      </c>
      <c r="F276" s="7">
        <f t="shared" ref="F276" si="40">SUM(G276:I276)</f>
        <v>13024.8</v>
      </c>
      <c r="G276" s="7"/>
      <c r="H276" s="7">
        <v>1487.8</v>
      </c>
      <c r="I276" s="7">
        <v>11537</v>
      </c>
      <c r="J276" s="14"/>
      <c r="K276" s="244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</row>
    <row r="277" spans="1:32" ht="36" customHeight="1" x14ac:dyDescent="0.2">
      <c r="A277" s="276"/>
      <c r="B277" s="241"/>
      <c r="C277" s="242"/>
      <c r="D277" s="277"/>
      <c r="E277" s="26" t="s">
        <v>18</v>
      </c>
      <c r="F277" s="9">
        <f>SUM(F266:F276)</f>
        <v>361793.2</v>
      </c>
      <c r="G277" s="9"/>
      <c r="H277" s="9">
        <f>SUM(H266:H276)</f>
        <v>9807.4</v>
      </c>
      <c r="I277" s="9">
        <f>SUM(I266:I276)</f>
        <v>351985.8</v>
      </c>
      <c r="J277" s="22"/>
      <c r="K277" s="237"/>
    </row>
    <row r="278" spans="1:32" ht="12.75" customHeight="1" x14ac:dyDescent="0.25">
      <c r="A278" s="276" t="s">
        <v>270</v>
      </c>
      <c r="B278" s="240" t="s">
        <v>252</v>
      </c>
      <c r="C278" s="242" t="s">
        <v>61</v>
      </c>
      <c r="D278" s="277" t="s">
        <v>209</v>
      </c>
      <c r="E278" s="212">
        <v>2017</v>
      </c>
      <c r="F278" s="7">
        <f t="shared" ref="F278:F281" si="41">SUM(G278:I278)</f>
        <v>4240.7</v>
      </c>
      <c r="G278" s="7"/>
      <c r="H278" s="7"/>
      <c r="I278" s="7">
        <f>4186+54.7</f>
        <v>4240.7</v>
      </c>
      <c r="J278" s="14"/>
      <c r="K278" s="236" t="s">
        <v>259</v>
      </c>
      <c r="L278" s="104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</row>
    <row r="279" spans="1:32" ht="12.75" customHeight="1" x14ac:dyDescent="0.2">
      <c r="A279" s="276"/>
      <c r="B279" s="241"/>
      <c r="C279" s="242"/>
      <c r="D279" s="277"/>
      <c r="E279" s="212">
        <v>2018</v>
      </c>
      <c r="F279" s="14">
        <f t="shared" si="41"/>
        <v>0</v>
      </c>
      <c r="G279" s="14"/>
      <c r="H279" s="14"/>
      <c r="I279" s="14"/>
      <c r="J279" s="14"/>
      <c r="K279" s="244"/>
      <c r="L279" s="46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</row>
    <row r="280" spans="1:32" ht="12.75" customHeight="1" x14ac:dyDescent="0.2">
      <c r="A280" s="276"/>
      <c r="B280" s="241"/>
      <c r="C280" s="242"/>
      <c r="D280" s="277"/>
      <c r="E280" s="212">
        <v>2019</v>
      </c>
      <c r="F280" s="14">
        <f t="shared" si="41"/>
        <v>0</v>
      </c>
      <c r="G280" s="14"/>
      <c r="H280" s="14"/>
      <c r="I280" s="14"/>
      <c r="J280" s="14"/>
      <c r="K280" s="244"/>
      <c r="L280" s="104"/>
      <c r="M280" s="104" t="s">
        <v>241</v>
      </c>
      <c r="N280" s="28"/>
      <c r="O280" s="28"/>
      <c r="P280" s="104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</row>
    <row r="281" spans="1:32" ht="12.75" customHeight="1" x14ac:dyDescent="0.2">
      <c r="A281" s="276"/>
      <c r="B281" s="241"/>
      <c r="C281" s="242"/>
      <c r="D281" s="277"/>
      <c r="E281" s="212">
        <v>2020</v>
      </c>
      <c r="F281" s="14">
        <f t="shared" si="41"/>
        <v>0</v>
      </c>
      <c r="G281" s="14"/>
      <c r="H281" s="14"/>
      <c r="I281" s="14"/>
      <c r="J281" s="14"/>
      <c r="K281" s="244"/>
      <c r="L281" s="104"/>
      <c r="M281" s="104" t="s">
        <v>242</v>
      </c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</row>
    <row r="282" spans="1:32" ht="36" customHeight="1" x14ac:dyDescent="0.2">
      <c r="A282" s="276"/>
      <c r="B282" s="241"/>
      <c r="C282" s="242"/>
      <c r="D282" s="277"/>
      <c r="E282" s="26" t="s">
        <v>18</v>
      </c>
      <c r="F282" s="9">
        <f>SUM(F278:F281)</f>
        <v>4240.7</v>
      </c>
      <c r="G282" s="9"/>
      <c r="H282" s="9"/>
      <c r="I282" s="9">
        <f>SUM(I278:I281)</f>
        <v>4240.7</v>
      </c>
      <c r="J282" s="22"/>
      <c r="K282" s="237"/>
      <c r="N282" s="99" t="s">
        <v>328</v>
      </c>
      <c r="P282" s="99" t="s">
        <v>329</v>
      </c>
    </row>
    <row r="283" spans="1:32" ht="12.75" customHeight="1" x14ac:dyDescent="0.25">
      <c r="A283" s="276" t="s">
        <v>278</v>
      </c>
      <c r="B283" s="240" t="s">
        <v>253</v>
      </c>
      <c r="C283" s="242" t="s">
        <v>409</v>
      </c>
      <c r="D283" s="277" t="s">
        <v>209</v>
      </c>
      <c r="E283" s="212">
        <v>2017</v>
      </c>
      <c r="F283" s="7">
        <f t="shared" ref="F283:F286" si="42">SUM(G283:I283)</f>
        <v>50179.899999999994</v>
      </c>
      <c r="G283" s="7"/>
      <c r="H283" s="7">
        <f>39366.1+2524.5-9876.8</f>
        <v>32013.8</v>
      </c>
      <c r="I283" s="7">
        <f>19299.3-1133.2</f>
        <v>18166.099999999999</v>
      </c>
      <c r="J283" s="14"/>
      <c r="K283" s="277" t="s">
        <v>260</v>
      </c>
      <c r="L283" s="104" t="s">
        <v>348</v>
      </c>
      <c r="M283" s="104" t="s">
        <v>347</v>
      </c>
      <c r="N283" s="28"/>
      <c r="O283" s="28"/>
      <c r="P283" s="104" t="s">
        <v>349</v>
      </c>
      <c r="Q283" s="28"/>
      <c r="R283" s="104" t="s">
        <v>332</v>
      </c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</row>
    <row r="284" spans="1:32" ht="12.75" customHeight="1" x14ac:dyDescent="0.25">
      <c r="A284" s="276"/>
      <c r="B284" s="241"/>
      <c r="C284" s="242"/>
      <c r="D284" s="277"/>
      <c r="E284" s="212">
        <v>2018</v>
      </c>
      <c r="F284" s="7">
        <f t="shared" si="42"/>
        <v>55056.1</v>
      </c>
      <c r="G284" s="7"/>
      <c r="H284" s="7">
        <f>45376.8-6129.8</f>
        <v>39247</v>
      </c>
      <c r="I284" s="7">
        <f>14056.7+1752.4</f>
        <v>15809.1</v>
      </c>
      <c r="J284" s="14"/>
      <c r="K284" s="277"/>
      <c r="L284" s="46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</row>
    <row r="285" spans="1:32" ht="12.75" customHeight="1" x14ac:dyDescent="0.25">
      <c r="A285" s="276"/>
      <c r="B285" s="241"/>
      <c r="C285" s="242"/>
      <c r="D285" s="277"/>
      <c r="E285" s="212">
        <v>2019</v>
      </c>
      <c r="F285" s="7">
        <f t="shared" si="42"/>
        <v>48555.6</v>
      </c>
      <c r="G285" s="7"/>
      <c r="H285" s="7">
        <f>42020.2-3581.2</f>
        <v>38439</v>
      </c>
      <c r="I285" s="7">
        <f>10138-21.4</f>
        <v>10116.6</v>
      </c>
      <c r="J285" s="14"/>
      <c r="K285" s="277"/>
      <c r="L285" s="104"/>
      <c r="M285" s="104" t="s">
        <v>241</v>
      </c>
      <c r="N285" s="28"/>
      <c r="O285" s="28"/>
      <c r="P285" s="104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</row>
    <row r="286" spans="1:32" ht="12.75" customHeight="1" x14ac:dyDescent="0.25">
      <c r="A286" s="276"/>
      <c r="B286" s="241"/>
      <c r="C286" s="242"/>
      <c r="D286" s="277"/>
      <c r="E286" s="212">
        <v>2020</v>
      </c>
      <c r="F286" s="7">
        <f t="shared" si="42"/>
        <v>42349.7</v>
      </c>
      <c r="G286" s="7"/>
      <c r="H286" s="7">
        <v>42349.7</v>
      </c>
      <c r="I286" s="7">
        <v>0</v>
      </c>
      <c r="J286" s="14"/>
      <c r="K286" s="277"/>
      <c r="L286" s="104"/>
      <c r="M286" s="104" t="s">
        <v>242</v>
      </c>
      <c r="N286" s="28"/>
      <c r="O286" s="28"/>
      <c r="P286" s="28"/>
      <c r="Q286" s="28"/>
      <c r="R286" s="124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</row>
    <row r="287" spans="1:32" ht="12.75" customHeight="1" x14ac:dyDescent="0.25">
      <c r="A287" s="276"/>
      <c r="B287" s="241"/>
      <c r="C287" s="242"/>
      <c r="D287" s="277"/>
      <c r="E287" s="224">
        <v>2021</v>
      </c>
      <c r="F287" s="7">
        <f t="shared" ref="F287:F290" si="43">SUM(G287:I287)</f>
        <v>42710</v>
      </c>
      <c r="G287" s="7"/>
      <c r="H287" s="7">
        <v>42710</v>
      </c>
      <c r="I287" s="7">
        <v>0</v>
      </c>
      <c r="J287" s="14"/>
      <c r="K287" s="277"/>
      <c r="L287" s="104" t="s">
        <v>348</v>
      </c>
      <c r="M287" s="104" t="s">
        <v>347</v>
      </c>
      <c r="N287" s="28"/>
      <c r="O287" s="28"/>
      <c r="P287" s="104" t="s">
        <v>349</v>
      </c>
      <c r="Q287" s="28"/>
      <c r="R287" s="104" t="s">
        <v>332</v>
      </c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</row>
    <row r="288" spans="1:32" ht="12.75" customHeight="1" x14ac:dyDescent="0.25">
      <c r="A288" s="276"/>
      <c r="B288" s="241"/>
      <c r="C288" s="242"/>
      <c r="D288" s="277"/>
      <c r="E288" s="224">
        <v>2022</v>
      </c>
      <c r="F288" s="7">
        <f t="shared" si="43"/>
        <v>45300</v>
      </c>
      <c r="G288" s="7"/>
      <c r="H288" s="7">
        <v>45300</v>
      </c>
      <c r="I288" s="7">
        <v>0</v>
      </c>
      <c r="J288" s="14"/>
      <c r="K288" s="277"/>
      <c r="L288" s="4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</row>
    <row r="289" spans="1:32" ht="12.75" customHeight="1" x14ac:dyDescent="0.25">
      <c r="A289" s="276"/>
      <c r="B289" s="241"/>
      <c r="C289" s="242"/>
      <c r="D289" s="277"/>
      <c r="E289" s="224">
        <v>2023</v>
      </c>
      <c r="F289" s="7">
        <f t="shared" si="43"/>
        <v>47383.8</v>
      </c>
      <c r="G289" s="7"/>
      <c r="H289" s="7">
        <v>47383.8</v>
      </c>
      <c r="I289" s="7">
        <v>0</v>
      </c>
      <c r="J289" s="14"/>
      <c r="K289" s="277"/>
      <c r="L289" s="104"/>
      <c r="M289" s="104" t="s">
        <v>241</v>
      </c>
      <c r="N289" s="28"/>
      <c r="O289" s="28"/>
      <c r="P289" s="104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</row>
    <row r="290" spans="1:32" ht="12.75" customHeight="1" x14ac:dyDescent="0.25">
      <c r="A290" s="276"/>
      <c r="B290" s="241"/>
      <c r="C290" s="242"/>
      <c r="D290" s="277"/>
      <c r="E290" s="224">
        <v>2024</v>
      </c>
      <c r="F290" s="7">
        <f t="shared" si="43"/>
        <v>49563.5</v>
      </c>
      <c r="G290" s="7"/>
      <c r="H290" s="7">
        <v>49563.5</v>
      </c>
      <c r="I290" s="7">
        <v>0</v>
      </c>
      <c r="J290" s="14"/>
      <c r="K290" s="277"/>
      <c r="L290" s="104"/>
      <c r="M290" s="104" t="s">
        <v>242</v>
      </c>
      <c r="N290" s="28"/>
      <c r="O290" s="28"/>
      <c r="P290" s="28"/>
      <c r="Q290" s="28"/>
      <c r="R290" s="124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</row>
    <row r="291" spans="1:32" ht="12.75" customHeight="1" x14ac:dyDescent="0.25">
      <c r="A291" s="276"/>
      <c r="B291" s="241"/>
      <c r="C291" s="242"/>
      <c r="D291" s="277"/>
      <c r="E291" s="224">
        <v>2025</v>
      </c>
      <c r="F291" s="7">
        <f t="shared" ref="F291" si="44">SUM(G291:I291)</f>
        <v>51843.4</v>
      </c>
      <c r="G291" s="7"/>
      <c r="H291" s="7">
        <v>51843.4</v>
      </c>
      <c r="I291" s="7">
        <v>0</v>
      </c>
      <c r="J291" s="14"/>
      <c r="K291" s="277"/>
      <c r="L291" s="104"/>
      <c r="M291" s="104" t="s">
        <v>242</v>
      </c>
      <c r="N291" s="28"/>
      <c r="O291" s="28"/>
      <c r="P291" s="28"/>
      <c r="Q291" s="28"/>
      <c r="R291" s="124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</row>
    <row r="292" spans="1:32" ht="36" customHeight="1" x14ac:dyDescent="0.2">
      <c r="A292" s="276"/>
      <c r="B292" s="241"/>
      <c r="C292" s="242"/>
      <c r="D292" s="277"/>
      <c r="E292" s="18" t="s">
        <v>18</v>
      </c>
      <c r="F292" s="8">
        <f>SUM(F283:F291)</f>
        <v>432942</v>
      </c>
      <c r="G292" s="8"/>
      <c r="H292" s="8">
        <f>SUM(H283:H291)</f>
        <v>388850.2</v>
      </c>
      <c r="I292" s="8">
        <f>SUM(I283:I291)</f>
        <v>44091.799999999996</v>
      </c>
      <c r="J292" s="14"/>
      <c r="K292" s="277"/>
    </row>
    <row r="293" spans="1:32" ht="12.75" customHeight="1" x14ac:dyDescent="0.25">
      <c r="A293" s="503" t="s">
        <v>296</v>
      </c>
      <c r="B293" s="247" t="s">
        <v>298</v>
      </c>
      <c r="C293" s="242" t="s">
        <v>409</v>
      </c>
      <c r="D293" s="277" t="s">
        <v>209</v>
      </c>
      <c r="E293" s="212">
        <v>2017</v>
      </c>
      <c r="F293" s="7">
        <f t="shared" ref="F293:F296" si="45">SUM(G293:I293)</f>
        <v>7165.3</v>
      </c>
      <c r="G293" s="7"/>
      <c r="H293" s="7"/>
      <c r="I293" s="7">
        <v>7165.3</v>
      </c>
      <c r="J293" s="14"/>
      <c r="K293" s="504" t="s">
        <v>381</v>
      </c>
      <c r="L293" s="104" t="s">
        <v>365</v>
      </c>
      <c r="M293" s="104"/>
      <c r="N293" s="104" t="s">
        <v>346</v>
      </c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</row>
    <row r="294" spans="1:32" ht="12.75" customHeight="1" x14ac:dyDescent="0.25">
      <c r="A294" s="503"/>
      <c r="B294" s="458"/>
      <c r="C294" s="242"/>
      <c r="D294" s="277"/>
      <c r="E294" s="212">
        <v>2018</v>
      </c>
      <c r="F294" s="7">
        <f t="shared" si="45"/>
        <v>5450</v>
      </c>
      <c r="G294" s="7"/>
      <c r="H294" s="7"/>
      <c r="I294" s="7">
        <v>5450</v>
      </c>
      <c r="J294" s="14"/>
      <c r="K294" s="512"/>
      <c r="L294" s="46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</row>
    <row r="295" spans="1:32" ht="12.75" customHeight="1" x14ac:dyDescent="0.25">
      <c r="A295" s="503"/>
      <c r="B295" s="458"/>
      <c r="C295" s="242"/>
      <c r="D295" s="277"/>
      <c r="E295" s="212">
        <v>2019</v>
      </c>
      <c r="F295" s="7">
        <f t="shared" si="45"/>
        <v>6500</v>
      </c>
      <c r="G295" s="7"/>
      <c r="H295" s="7"/>
      <c r="I295" s="7">
        <v>6500</v>
      </c>
      <c r="J295" s="14"/>
      <c r="K295" s="512"/>
      <c r="L295" s="104"/>
      <c r="M295" s="104"/>
      <c r="N295" s="28"/>
      <c r="O295" s="28"/>
      <c r="P295" s="104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</row>
    <row r="296" spans="1:32" ht="12.75" customHeight="1" x14ac:dyDescent="0.25">
      <c r="A296" s="503"/>
      <c r="B296" s="458"/>
      <c r="C296" s="242"/>
      <c r="D296" s="277"/>
      <c r="E296" s="212">
        <v>2020</v>
      </c>
      <c r="F296" s="7">
        <f t="shared" si="45"/>
        <v>0</v>
      </c>
      <c r="G296" s="7"/>
      <c r="H296" s="7"/>
      <c r="I296" s="7">
        <v>0</v>
      </c>
      <c r="J296" s="14"/>
      <c r="K296" s="512"/>
      <c r="L296" s="104"/>
      <c r="M296" s="104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</row>
    <row r="297" spans="1:32" ht="12.75" customHeight="1" x14ac:dyDescent="0.25">
      <c r="A297" s="503"/>
      <c r="B297" s="458"/>
      <c r="C297" s="242"/>
      <c r="D297" s="277"/>
      <c r="E297" s="224">
        <v>2021</v>
      </c>
      <c r="F297" s="7">
        <f t="shared" ref="F297:F300" si="46">SUM(G297:I297)</f>
        <v>0</v>
      </c>
      <c r="G297" s="7"/>
      <c r="H297" s="7"/>
      <c r="I297" s="7">
        <v>0</v>
      </c>
      <c r="J297" s="14"/>
      <c r="K297" s="512"/>
      <c r="L297" s="104" t="s">
        <v>365</v>
      </c>
      <c r="M297" s="104"/>
      <c r="N297" s="104" t="s">
        <v>346</v>
      </c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</row>
    <row r="298" spans="1:32" ht="12.75" customHeight="1" x14ac:dyDescent="0.25">
      <c r="A298" s="503"/>
      <c r="B298" s="458"/>
      <c r="C298" s="242"/>
      <c r="D298" s="277"/>
      <c r="E298" s="224">
        <v>2022</v>
      </c>
      <c r="F298" s="7">
        <f t="shared" si="46"/>
        <v>0</v>
      </c>
      <c r="G298" s="7"/>
      <c r="H298" s="7"/>
      <c r="I298" s="7">
        <v>0</v>
      </c>
      <c r="J298" s="14"/>
      <c r="K298" s="512"/>
      <c r="L298" s="4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</row>
    <row r="299" spans="1:32" ht="12.75" customHeight="1" x14ac:dyDescent="0.25">
      <c r="A299" s="503"/>
      <c r="B299" s="458"/>
      <c r="C299" s="242"/>
      <c r="D299" s="277"/>
      <c r="E299" s="224">
        <v>2023</v>
      </c>
      <c r="F299" s="7">
        <f t="shared" si="46"/>
        <v>0</v>
      </c>
      <c r="G299" s="7"/>
      <c r="H299" s="7"/>
      <c r="I299" s="7">
        <v>0</v>
      </c>
      <c r="J299" s="14"/>
      <c r="K299" s="512"/>
      <c r="L299" s="104"/>
      <c r="M299" s="104"/>
      <c r="N299" s="28"/>
      <c r="O299" s="28"/>
      <c r="P299" s="104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</row>
    <row r="300" spans="1:32" ht="12.75" customHeight="1" x14ac:dyDescent="0.25">
      <c r="A300" s="503"/>
      <c r="B300" s="458"/>
      <c r="C300" s="242"/>
      <c r="D300" s="277"/>
      <c r="E300" s="224">
        <v>2024</v>
      </c>
      <c r="F300" s="7">
        <f t="shared" si="46"/>
        <v>0</v>
      </c>
      <c r="G300" s="7"/>
      <c r="H300" s="7"/>
      <c r="I300" s="7">
        <v>0</v>
      </c>
      <c r="J300" s="14"/>
      <c r="K300" s="512"/>
      <c r="L300" s="104"/>
      <c r="M300" s="104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</row>
    <row r="301" spans="1:32" ht="12.75" customHeight="1" x14ac:dyDescent="0.25">
      <c r="A301" s="503"/>
      <c r="B301" s="458"/>
      <c r="C301" s="242"/>
      <c r="D301" s="277"/>
      <c r="E301" s="224">
        <v>2025</v>
      </c>
      <c r="F301" s="7">
        <f t="shared" ref="F301" si="47">SUM(G301:I301)</f>
        <v>0</v>
      </c>
      <c r="G301" s="7"/>
      <c r="H301" s="7"/>
      <c r="I301" s="7">
        <v>0</v>
      </c>
      <c r="J301" s="14"/>
      <c r="K301" s="512"/>
      <c r="L301" s="104"/>
      <c r="M301" s="104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</row>
    <row r="302" spans="1:32" ht="36" customHeight="1" x14ac:dyDescent="0.2">
      <c r="A302" s="503"/>
      <c r="B302" s="458"/>
      <c r="C302" s="242"/>
      <c r="D302" s="277"/>
      <c r="E302" s="26" t="s">
        <v>18</v>
      </c>
      <c r="F302" s="9">
        <f>SUM(F293:F301)</f>
        <v>19115.3</v>
      </c>
      <c r="G302" s="9"/>
      <c r="H302" s="9"/>
      <c r="I302" s="9">
        <f>SUM(I293:I301)</f>
        <v>19115.3</v>
      </c>
      <c r="J302" s="22"/>
      <c r="K302" s="516"/>
    </row>
    <row r="303" spans="1:32" ht="16.5" customHeight="1" x14ac:dyDescent="0.2">
      <c r="A303" s="381" t="s">
        <v>210</v>
      </c>
      <c r="B303" s="344"/>
      <c r="C303" s="344"/>
      <c r="D303" s="344"/>
      <c r="E303" s="18" t="s">
        <v>18</v>
      </c>
      <c r="F303" s="140">
        <f>F302+F292+F282+F277+F264+F257+F248+F246+F244+F241+F239+F235+F226+F221+F218</f>
        <v>1221635.3</v>
      </c>
      <c r="G303" s="151"/>
      <c r="H303" s="140">
        <f>H218+H221+H226+H235+H239+H241+H244+H246+H257+H264+H277+H282+H292+H489+H302+H248</f>
        <v>713251.5</v>
      </c>
      <c r="I303" s="140">
        <f>I302+I292+I282+I277+I264+I257+I248+I246+I244+I241+I239+I235+I226+I221+I218</f>
        <v>508383.80000000005</v>
      </c>
      <c r="J303" s="90"/>
      <c r="K303" s="89"/>
      <c r="L303" s="126"/>
      <c r="M303" s="127"/>
      <c r="N303" s="127"/>
      <c r="O303" s="99"/>
    </row>
    <row r="304" spans="1:32" ht="18.75" customHeight="1" x14ac:dyDescent="0.25">
      <c r="A304" s="514" t="s">
        <v>62</v>
      </c>
      <c r="B304" s="514"/>
      <c r="C304" s="514"/>
      <c r="D304" s="514"/>
      <c r="E304" s="514"/>
      <c r="F304" s="514"/>
      <c r="G304" s="514"/>
      <c r="H304" s="514"/>
      <c r="I304" s="514"/>
      <c r="J304" s="514"/>
      <c r="K304" s="514"/>
    </row>
    <row r="305" spans="1:36" ht="31.5" customHeight="1" x14ac:dyDescent="0.2">
      <c r="A305" s="515" t="s">
        <v>63</v>
      </c>
      <c r="B305" s="344"/>
      <c r="C305" s="344"/>
      <c r="D305" s="344"/>
      <c r="E305" s="344"/>
      <c r="F305" s="344"/>
      <c r="G305" s="344"/>
      <c r="H305" s="344"/>
      <c r="I305" s="344"/>
      <c r="J305" s="344"/>
      <c r="K305" s="344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28"/>
      <c r="AH305" s="28"/>
      <c r="AI305" s="28"/>
      <c r="AJ305" s="28"/>
    </row>
    <row r="306" spans="1:36" ht="15" x14ac:dyDescent="0.25">
      <c r="A306" s="276" t="s">
        <v>64</v>
      </c>
      <c r="B306" s="502" t="s">
        <v>226</v>
      </c>
      <c r="C306" s="234" t="s">
        <v>408</v>
      </c>
      <c r="D306" s="236" t="s">
        <v>209</v>
      </c>
      <c r="E306" s="212">
        <v>2015</v>
      </c>
      <c r="F306" s="7">
        <f t="shared" ref="F306:F311" si="48">SUM(G306:J306)</f>
        <v>471461.89999999997</v>
      </c>
      <c r="G306" s="7"/>
      <c r="H306" s="7">
        <f>457488.8+13973.1</f>
        <v>471461.89999999997</v>
      </c>
      <c r="I306" s="14"/>
      <c r="J306" s="14"/>
      <c r="K306" s="236" t="s">
        <v>254</v>
      </c>
    </row>
    <row r="307" spans="1:36" ht="15" x14ac:dyDescent="0.25">
      <c r="A307" s="276"/>
      <c r="B307" s="475"/>
      <c r="C307" s="250"/>
      <c r="D307" s="244"/>
      <c r="E307" s="212">
        <v>2016</v>
      </c>
      <c r="F307" s="7">
        <f t="shared" si="48"/>
        <v>485636.2</v>
      </c>
      <c r="G307" s="7"/>
      <c r="H307" s="7">
        <f>503346-17709.8</f>
        <v>485636.2</v>
      </c>
      <c r="I307" s="14"/>
      <c r="J307" s="14"/>
      <c r="K307" s="244"/>
      <c r="L307" s="99"/>
    </row>
    <row r="308" spans="1:36" ht="15" x14ac:dyDescent="0.25">
      <c r="A308" s="276"/>
      <c r="B308" s="475"/>
      <c r="C308" s="250"/>
      <c r="D308" s="244"/>
      <c r="E308" s="212">
        <v>2017</v>
      </c>
      <c r="F308" s="7">
        <f t="shared" si="48"/>
        <v>490057.5</v>
      </c>
      <c r="G308" s="7"/>
      <c r="H308" s="7">
        <f>478983.8+11073.7</f>
        <v>490057.5</v>
      </c>
      <c r="I308" s="14"/>
      <c r="J308" s="14"/>
      <c r="K308" s="244"/>
      <c r="L308" s="99"/>
      <c r="M308" s="106"/>
      <c r="N308" s="99" t="s">
        <v>343</v>
      </c>
      <c r="P308" s="99" t="s">
        <v>344</v>
      </c>
    </row>
    <row r="309" spans="1:36" ht="15" x14ac:dyDescent="0.25">
      <c r="A309" s="276"/>
      <c r="B309" s="475"/>
      <c r="C309" s="250"/>
      <c r="D309" s="244"/>
      <c r="E309" s="212">
        <v>2018</v>
      </c>
      <c r="F309" s="7">
        <f t="shared" si="48"/>
        <v>566597.30000000005</v>
      </c>
      <c r="G309" s="7"/>
      <c r="H309" s="7">
        <f>524988.5+32092</f>
        <v>557080.5</v>
      </c>
      <c r="I309" s="7">
        <f>18868.4-9351.6</f>
        <v>9516.8000000000011</v>
      </c>
      <c r="J309" s="14"/>
      <c r="K309" s="244"/>
      <c r="L309" s="99"/>
      <c r="M309" s="106"/>
      <c r="N309" s="99" t="s">
        <v>244</v>
      </c>
    </row>
    <row r="310" spans="1:36" ht="15" x14ac:dyDescent="0.25">
      <c r="A310" s="276"/>
      <c r="B310" s="475"/>
      <c r="C310" s="250"/>
      <c r="D310" s="244"/>
      <c r="E310" s="212">
        <v>2019</v>
      </c>
      <c r="F310" s="7">
        <f t="shared" si="48"/>
        <v>637088.1</v>
      </c>
      <c r="G310" s="7"/>
      <c r="H310" s="7">
        <v>632734.1</v>
      </c>
      <c r="I310" s="7">
        <f>4190+164</f>
        <v>4354</v>
      </c>
      <c r="J310" s="14"/>
      <c r="K310" s="244"/>
      <c r="L310" s="99"/>
      <c r="M310" s="106"/>
      <c r="N310" s="99" t="s">
        <v>245</v>
      </c>
    </row>
    <row r="311" spans="1:36" ht="15" x14ac:dyDescent="0.25">
      <c r="A311" s="276"/>
      <c r="B311" s="475"/>
      <c r="C311" s="250"/>
      <c r="D311" s="244"/>
      <c r="E311" s="212">
        <v>2020</v>
      </c>
      <c r="F311" s="7">
        <f t="shared" si="48"/>
        <v>687325.5</v>
      </c>
      <c r="G311" s="7"/>
      <c r="H311" s="7">
        <v>683135.5</v>
      </c>
      <c r="I311" s="7">
        <v>4190</v>
      </c>
      <c r="J311" s="14"/>
      <c r="K311" s="244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</row>
    <row r="312" spans="1:36" ht="15" x14ac:dyDescent="0.25">
      <c r="A312" s="276"/>
      <c r="B312" s="475"/>
      <c r="C312" s="250"/>
      <c r="D312" s="244"/>
      <c r="E312" s="224">
        <v>2021</v>
      </c>
      <c r="F312" s="7">
        <f t="shared" ref="F312:F316" si="49">SUM(G312:J312)</f>
        <v>732882.5</v>
      </c>
      <c r="G312" s="7"/>
      <c r="H312" s="7">
        <v>728692.5</v>
      </c>
      <c r="I312" s="7">
        <v>4190</v>
      </c>
      <c r="J312" s="14"/>
      <c r="K312" s="244"/>
    </row>
    <row r="313" spans="1:36" ht="15" x14ac:dyDescent="0.25">
      <c r="A313" s="276"/>
      <c r="B313" s="475"/>
      <c r="C313" s="250"/>
      <c r="D313" s="244"/>
      <c r="E313" s="224">
        <v>2022</v>
      </c>
      <c r="F313" s="7">
        <f t="shared" si="49"/>
        <v>794373.7</v>
      </c>
      <c r="G313" s="7"/>
      <c r="H313" s="7">
        <v>790000</v>
      </c>
      <c r="I313" s="7">
        <v>4373.7</v>
      </c>
      <c r="J313" s="14"/>
      <c r="K313" s="244"/>
      <c r="L313" s="99"/>
    </row>
    <row r="314" spans="1:36" ht="15" x14ac:dyDescent="0.25">
      <c r="A314" s="276"/>
      <c r="B314" s="475"/>
      <c r="C314" s="250"/>
      <c r="D314" s="244"/>
      <c r="E314" s="224">
        <v>2023</v>
      </c>
      <c r="F314" s="7">
        <f t="shared" si="49"/>
        <v>830888.6</v>
      </c>
      <c r="G314" s="7"/>
      <c r="H314" s="7">
        <v>826340</v>
      </c>
      <c r="I314" s="7">
        <v>4548.6000000000004</v>
      </c>
      <c r="J314" s="14"/>
      <c r="K314" s="244"/>
      <c r="L314" s="99"/>
      <c r="M314" s="106"/>
      <c r="N314" s="99" t="s">
        <v>343</v>
      </c>
      <c r="P314" s="99" t="s">
        <v>344</v>
      </c>
    </row>
    <row r="315" spans="1:36" ht="15" x14ac:dyDescent="0.25">
      <c r="A315" s="276"/>
      <c r="B315" s="475"/>
      <c r="C315" s="250"/>
      <c r="D315" s="244"/>
      <c r="E315" s="224">
        <v>2024</v>
      </c>
      <c r="F315" s="7">
        <f t="shared" si="49"/>
        <v>869082.2</v>
      </c>
      <c r="G315" s="7"/>
      <c r="H315" s="7">
        <v>864351.6</v>
      </c>
      <c r="I315" s="7">
        <v>4730.6000000000004</v>
      </c>
      <c r="J315" s="14"/>
      <c r="K315" s="244"/>
      <c r="L315" s="99"/>
      <c r="M315" s="106"/>
      <c r="N315" s="99" t="s">
        <v>244</v>
      </c>
    </row>
    <row r="316" spans="1:36" ht="15" x14ac:dyDescent="0.25">
      <c r="A316" s="276"/>
      <c r="B316" s="475"/>
      <c r="C316" s="250"/>
      <c r="D316" s="244"/>
      <c r="E316" s="224">
        <v>2025</v>
      </c>
      <c r="F316" s="7">
        <f t="shared" si="49"/>
        <v>909031.60000000009</v>
      </c>
      <c r="G316" s="7"/>
      <c r="H316" s="7">
        <v>904111.8</v>
      </c>
      <c r="I316" s="7">
        <v>4919.8</v>
      </c>
      <c r="J316" s="14"/>
      <c r="K316" s="244"/>
      <c r="L316" s="99"/>
      <c r="M316" s="106"/>
      <c r="N316" s="99" t="s">
        <v>245</v>
      </c>
    </row>
    <row r="317" spans="1:36" ht="66" customHeight="1" x14ac:dyDescent="0.2">
      <c r="A317" s="276"/>
      <c r="B317" s="476"/>
      <c r="C317" s="235"/>
      <c r="D317" s="244"/>
      <c r="E317" s="18" t="s">
        <v>18</v>
      </c>
      <c r="F317" s="8">
        <f>SUM(F306:F316)</f>
        <v>7474425.0999999996</v>
      </c>
      <c r="G317" s="8"/>
      <c r="H317" s="8">
        <f>SUM(H306:H316)</f>
        <v>7433601.5999999996</v>
      </c>
      <c r="I317" s="8">
        <f>SUM(I306:I316)</f>
        <v>40823.500000000007</v>
      </c>
      <c r="J317" s="13"/>
      <c r="K317" s="237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</row>
    <row r="318" spans="1:36" ht="15" x14ac:dyDescent="0.25">
      <c r="A318" s="276" t="s">
        <v>279</v>
      </c>
      <c r="B318" s="502" t="s">
        <v>255</v>
      </c>
      <c r="C318" s="234" t="s">
        <v>408</v>
      </c>
      <c r="D318" s="236" t="s">
        <v>209</v>
      </c>
      <c r="E318" s="212">
        <v>2017</v>
      </c>
      <c r="F318" s="7">
        <f t="shared" ref="F318:F321" si="50">SUM(G318:J318)</f>
        <v>2812.9</v>
      </c>
      <c r="G318" s="7"/>
      <c r="H318" s="7">
        <f>3265.6-452.7</f>
        <v>2812.9</v>
      </c>
      <c r="I318" s="14"/>
      <c r="J318" s="14"/>
      <c r="K318" s="236" t="s">
        <v>262</v>
      </c>
      <c r="L318" s="99"/>
    </row>
    <row r="319" spans="1:36" ht="15" x14ac:dyDescent="0.25">
      <c r="A319" s="276"/>
      <c r="B319" s="475"/>
      <c r="C319" s="250"/>
      <c r="D319" s="244"/>
      <c r="E319" s="212">
        <v>2018</v>
      </c>
      <c r="F319" s="7">
        <f t="shared" si="50"/>
        <v>2826.4</v>
      </c>
      <c r="G319" s="7"/>
      <c r="H319" s="7">
        <f>3504-677.6</f>
        <v>2826.4</v>
      </c>
      <c r="I319" s="14"/>
      <c r="J319" s="14"/>
      <c r="K319" s="244"/>
      <c r="L319" s="99"/>
    </row>
    <row r="320" spans="1:36" ht="15" x14ac:dyDescent="0.25">
      <c r="A320" s="276"/>
      <c r="B320" s="475"/>
      <c r="C320" s="250"/>
      <c r="D320" s="244"/>
      <c r="E320" s="212">
        <v>2019</v>
      </c>
      <c r="F320" s="7">
        <f t="shared" si="50"/>
        <v>2389.1999999999998</v>
      </c>
      <c r="G320" s="7"/>
      <c r="H320" s="7">
        <v>2389.1999999999998</v>
      </c>
      <c r="I320" s="14"/>
      <c r="J320" s="14"/>
      <c r="K320" s="244"/>
      <c r="L320" s="99"/>
      <c r="M320" s="106"/>
      <c r="N320" s="99" t="s">
        <v>243</v>
      </c>
    </row>
    <row r="321" spans="1:32" ht="15" x14ac:dyDescent="0.25">
      <c r="A321" s="276"/>
      <c r="B321" s="475"/>
      <c r="C321" s="250"/>
      <c r="D321" s="244"/>
      <c r="E321" s="212">
        <v>2020</v>
      </c>
      <c r="F321" s="7">
        <f t="shared" si="50"/>
        <v>2535.5</v>
      </c>
      <c r="G321" s="7"/>
      <c r="H321" s="7">
        <v>2535.5</v>
      </c>
      <c r="I321" s="14"/>
      <c r="J321" s="14"/>
      <c r="K321" s="244"/>
      <c r="L321" s="99"/>
      <c r="M321" s="106"/>
      <c r="N321" s="99" t="s">
        <v>244</v>
      </c>
    </row>
    <row r="322" spans="1:32" ht="15" x14ac:dyDescent="0.25">
      <c r="A322" s="276"/>
      <c r="B322" s="475"/>
      <c r="C322" s="250"/>
      <c r="D322" s="244"/>
      <c r="E322" s="224">
        <v>2021</v>
      </c>
      <c r="F322" s="7">
        <f t="shared" ref="F322:F325" si="51">SUM(G322:J322)</f>
        <v>2655.1</v>
      </c>
      <c r="G322" s="7"/>
      <c r="H322" s="7">
        <v>2655.1</v>
      </c>
      <c r="I322" s="14"/>
      <c r="J322" s="14"/>
      <c r="K322" s="244"/>
      <c r="L322" s="99"/>
    </row>
    <row r="323" spans="1:32" ht="15" x14ac:dyDescent="0.25">
      <c r="A323" s="276"/>
      <c r="B323" s="475"/>
      <c r="C323" s="250"/>
      <c r="D323" s="244"/>
      <c r="E323" s="224">
        <v>2022</v>
      </c>
      <c r="F323" s="7">
        <f t="shared" si="51"/>
        <v>3000</v>
      </c>
      <c r="G323" s="7"/>
      <c r="H323" s="7">
        <v>3000</v>
      </c>
      <c r="I323" s="14"/>
      <c r="J323" s="14"/>
      <c r="K323" s="244"/>
      <c r="L323" s="99"/>
    </row>
    <row r="324" spans="1:32" ht="15" x14ac:dyDescent="0.25">
      <c r="A324" s="276"/>
      <c r="B324" s="475"/>
      <c r="C324" s="250"/>
      <c r="D324" s="244"/>
      <c r="E324" s="224">
        <v>2023</v>
      </c>
      <c r="F324" s="7">
        <f t="shared" si="51"/>
        <v>3138</v>
      </c>
      <c r="G324" s="7"/>
      <c r="H324" s="7">
        <v>3138</v>
      </c>
      <c r="I324" s="14"/>
      <c r="J324" s="14"/>
      <c r="K324" s="244"/>
      <c r="L324" s="99"/>
      <c r="M324" s="106"/>
      <c r="N324" s="99" t="s">
        <v>243</v>
      </c>
    </row>
    <row r="325" spans="1:32" ht="15" x14ac:dyDescent="0.25">
      <c r="A325" s="276"/>
      <c r="B325" s="475"/>
      <c r="C325" s="250"/>
      <c r="D325" s="244"/>
      <c r="E325" s="224">
        <v>2024</v>
      </c>
      <c r="F325" s="7">
        <f t="shared" si="51"/>
        <v>3282.3</v>
      </c>
      <c r="G325" s="7"/>
      <c r="H325" s="7">
        <v>3282.3</v>
      </c>
      <c r="I325" s="14"/>
      <c r="J325" s="14"/>
      <c r="K325" s="244"/>
      <c r="L325" s="99"/>
      <c r="M325" s="106"/>
      <c r="N325" s="99" t="s">
        <v>244</v>
      </c>
    </row>
    <row r="326" spans="1:32" ht="15" x14ac:dyDescent="0.25">
      <c r="A326" s="276"/>
      <c r="B326" s="475"/>
      <c r="C326" s="250"/>
      <c r="D326" s="244"/>
      <c r="E326" s="224">
        <v>2025</v>
      </c>
      <c r="F326" s="7">
        <f t="shared" ref="F326" si="52">SUM(G326:J326)</f>
        <v>3433.3</v>
      </c>
      <c r="G326" s="7"/>
      <c r="H326" s="7">
        <v>3433.3</v>
      </c>
      <c r="I326" s="14"/>
      <c r="J326" s="14"/>
      <c r="K326" s="244"/>
      <c r="L326" s="99"/>
      <c r="M326" s="106"/>
      <c r="N326" s="99" t="s">
        <v>244</v>
      </c>
    </row>
    <row r="327" spans="1:32" ht="86.25" customHeight="1" x14ac:dyDescent="0.2">
      <c r="A327" s="276"/>
      <c r="B327" s="476"/>
      <c r="C327" s="235"/>
      <c r="D327" s="244"/>
      <c r="E327" s="18" t="s">
        <v>18</v>
      </c>
      <c r="F327" s="8">
        <f>SUM(F318:F326)</f>
        <v>26072.699999999997</v>
      </c>
      <c r="G327" s="8"/>
      <c r="H327" s="8">
        <f>SUM(H318:H326)</f>
        <v>26072.699999999997</v>
      </c>
      <c r="I327" s="13"/>
      <c r="J327" s="13"/>
      <c r="K327" s="237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</row>
    <row r="328" spans="1:32" x14ac:dyDescent="0.2">
      <c r="A328" s="381" t="s">
        <v>65</v>
      </c>
      <c r="B328" s="362"/>
      <c r="C328" s="362"/>
      <c r="D328" s="362"/>
      <c r="E328" s="362"/>
      <c r="F328" s="362"/>
      <c r="G328" s="362"/>
      <c r="H328" s="362"/>
      <c r="I328" s="362"/>
      <c r="J328" s="362"/>
      <c r="K328" s="362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  <c r="AC328" s="48"/>
      <c r="AD328" s="48"/>
      <c r="AE328" s="48"/>
      <c r="AF328" s="48"/>
    </row>
    <row r="329" spans="1:32" ht="15" x14ac:dyDescent="0.25">
      <c r="A329" s="283" t="s">
        <v>280</v>
      </c>
      <c r="B329" s="284" t="s">
        <v>207</v>
      </c>
      <c r="C329" s="234" t="s">
        <v>408</v>
      </c>
      <c r="D329" s="236" t="s">
        <v>209</v>
      </c>
      <c r="E329" s="213">
        <v>2015</v>
      </c>
      <c r="F329" s="143">
        <f t="shared" ref="F329:F334" si="53">SUM(H329:I329)</f>
        <v>23806.500000000004</v>
      </c>
      <c r="G329" s="143"/>
      <c r="H329" s="143">
        <f>25365.4-1504.8-54.1</f>
        <v>23806.500000000004</v>
      </c>
      <c r="I329" s="12"/>
      <c r="J329" s="12"/>
      <c r="K329" s="236" t="s">
        <v>140</v>
      </c>
    </row>
    <row r="330" spans="1:32" ht="15" x14ac:dyDescent="0.25">
      <c r="A330" s="281"/>
      <c r="B330" s="285"/>
      <c r="C330" s="250"/>
      <c r="D330" s="244"/>
      <c r="E330" s="212">
        <v>2016</v>
      </c>
      <c r="F330" s="7">
        <f t="shared" si="53"/>
        <v>12245.599999999999</v>
      </c>
      <c r="G330" s="7"/>
      <c r="H330" s="7">
        <f>12116.8-44.2+173</f>
        <v>12245.599999999999</v>
      </c>
      <c r="I330" s="14"/>
      <c r="J330" s="14"/>
      <c r="K330" s="244"/>
    </row>
    <row r="331" spans="1:32" ht="15" x14ac:dyDescent="0.25">
      <c r="A331" s="281"/>
      <c r="B331" s="285"/>
      <c r="C331" s="250"/>
      <c r="D331" s="244"/>
      <c r="E331" s="212">
        <v>2017</v>
      </c>
      <c r="F331" s="7">
        <f t="shared" si="53"/>
        <v>12314.3</v>
      </c>
      <c r="G331" s="7"/>
      <c r="H331" s="7">
        <f>12346-31.7</f>
        <v>12314.3</v>
      </c>
      <c r="I331" s="14"/>
      <c r="J331" s="14"/>
      <c r="K331" s="244"/>
      <c r="L331" s="99"/>
      <c r="N331" s="99" t="s">
        <v>246</v>
      </c>
    </row>
    <row r="332" spans="1:32" ht="15" x14ac:dyDescent="0.25">
      <c r="A332" s="281"/>
      <c r="B332" s="285"/>
      <c r="C332" s="250"/>
      <c r="D332" s="244"/>
      <c r="E332" s="212">
        <v>2018</v>
      </c>
      <c r="F332" s="7">
        <f t="shared" si="53"/>
        <v>12584</v>
      </c>
      <c r="G332" s="7"/>
      <c r="H332" s="7">
        <f>12692.3-108.3</f>
        <v>12584</v>
      </c>
      <c r="I332" s="14"/>
      <c r="J332" s="14"/>
      <c r="K332" s="244"/>
      <c r="N332" s="4" t="s">
        <v>238</v>
      </c>
    </row>
    <row r="333" spans="1:32" ht="15" x14ac:dyDescent="0.25">
      <c r="A333" s="281"/>
      <c r="B333" s="285"/>
      <c r="C333" s="250"/>
      <c r="D333" s="244"/>
      <c r="E333" s="212">
        <v>2019</v>
      </c>
      <c r="F333" s="7">
        <f t="shared" si="53"/>
        <v>14736</v>
      </c>
      <c r="G333" s="7"/>
      <c r="H333" s="7">
        <v>14736</v>
      </c>
      <c r="I333" s="14"/>
      <c r="J333" s="14"/>
      <c r="K333" s="244"/>
      <c r="N333" s="4" t="s">
        <v>238</v>
      </c>
    </row>
    <row r="334" spans="1:32" ht="15" x14ac:dyDescent="0.25">
      <c r="A334" s="281"/>
      <c r="B334" s="285"/>
      <c r="C334" s="250"/>
      <c r="D334" s="244"/>
      <c r="E334" s="212">
        <v>2020</v>
      </c>
      <c r="F334" s="7">
        <f t="shared" si="53"/>
        <v>14736</v>
      </c>
      <c r="G334" s="7"/>
      <c r="H334" s="7">
        <v>14736</v>
      </c>
      <c r="I334" s="14"/>
      <c r="J334" s="14"/>
      <c r="K334" s="244"/>
    </row>
    <row r="335" spans="1:32" ht="15" x14ac:dyDescent="0.25">
      <c r="A335" s="282"/>
      <c r="B335" s="285"/>
      <c r="C335" s="250"/>
      <c r="D335" s="244"/>
      <c r="E335" s="224">
        <v>2021</v>
      </c>
      <c r="F335" s="7">
        <f t="shared" ref="F335:F339" si="54">SUM(H335:I335)</f>
        <v>14736</v>
      </c>
      <c r="G335" s="7"/>
      <c r="H335" s="7">
        <v>14736</v>
      </c>
      <c r="I335" s="14"/>
      <c r="J335" s="14"/>
      <c r="K335" s="244"/>
    </row>
    <row r="336" spans="1:32" ht="15" x14ac:dyDescent="0.25">
      <c r="A336" s="282"/>
      <c r="B336" s="285"/>
      <c r="C336" s="250"/>
      <c r="D336" s="244"/>
      <c r="E336" s="224">
        <v>2022</v>
      </c>
      <c r="F336" s="7">
        <f t="shared" si="54"/>
        <v>16000</v>
      </c>
      <c r="G336" s="7"/>
      <c r="H336" s="7">
        <v>16000</v>
      </c>
      <c r="I336" s="14"/>
      <c r="J336" s="14"/>
      <c r="K336" s="244"/>
      <c r="L336" s="99"/>
      <c r="N336" s="99" t="s">
        <v>246</v>
      </c>
    </row>
    <row r="337" spans="1:14" ht="15" x14ac:dyDescent="0.25">
      <c r="A337" s="282"/>
      <c r="B337" s="285"/>
      <c r="C337" s="250"/>
      <c r="D337" s="244"/>
      <c r="E337" s="224">
        <v>2023</v>
      </c>
      <c r="F337" s="7">
        <f t="shared" si="54"/>
        <v>16736</v>
      </c>
      <c r="G337" s="7"/>
      <c r="H337" s="7">
        <v>16736</v>
      </c>
      <c r="I337" s="14"/>
      <c r="J337" s="14"/>
      <c r="K337" s="244"/>
      <c r="N337" s="4" t="s">
        <v>238</v>
      </c>
    </row>
    <row r="338" spans="1:14" ht="15" x14ac:dyDescent="0.25">
      <c r="A338" s="282"/>
      <c r="B338" s="285"/>
      <c r="C338" s="250"/>
      <c r="D338" s="244"/>
      <c r="E338" s="224">
        <v>2024</v>
      </c>
      <c r="F338" s="7">
        <f t="shared" si="54"/>
        <v>17505.8</v>
      </c>
      <c r="G338" s="7"/>
      <c r="H338" s="7">
        <v>17505.8</v>
      </c>
      <c r="I338" s="14"/>
      <c r="J338" s="14"/>
      <c r="K338" s="244"/>
      <c r="N338" s="4" t="s">
        <v>238</v>
      </c>
    </row>
    <row r="339" spans="1:14" ht="15" x14ac:dyDescent="0.25">
      <c r="A339" s="282"/>
      <c r="B339" s="285"/>
      <c r="C339" s="250"/>
      <c r="D339" s="244"/>
      <c r="E339" s="224">
        <v>2025</v>
      </c>
      <c r="F339" s="7">
        <f t="shared" si="54"/>
        <v>18311</v>
      </c>
      <c r="G339" s="7"/>
      <c r="H339" s="7">
        <v>18311</v>
      </c>
      <c r="I339" s="14"/>
      <c r="J339" s="14"/>
      <c r="K339" s="244"/>
    </row>
    <row r="340" spans="1:14" ht="15" thickBot="1" x14ac:dyDescent="0.25">
      <c r="A340" s="282"/>
      <c r="B340" s="286"/>
      <c r="C340" s="235"/>
      <c r="D340" s="244"/>
      <c r="E340" s="18" t="s">
        <v>18</v>
      </c>
      <c r="F340" s="8">
        <f>SUM(F329:F339)</f>
        <v>173711.2</v>
      </c>
      <c r="G340" s="8"/>
      <c r="H340" s="8">
        <f>SUM(H329:H339)</f>
        <v>173711.2</v>
      </c>
      <c r="I340" s="13"/>
      <c r="J340" s="13"/>
      <c r="K340" s="237"/>
    </row>
    <row r="341" spans="1:14" ht="15" x14ac:dyDescent="0.25">
      <c r="A341" s="283" t="s">
        <v>72</v>
      </c>
      <c r="B341" s="284" t="s">
        <v>256</v>
      </c>
      <c r="C341" s="234" t="s">
        <v>408</v>
      </c>
      <c r="D341" s="236" t="s">
        <v>209</v>
      </c>
      <c r="E341" s="213">
        <v>2017</v>
      </c>
      <c r="F341" s="143">
        <f t="shared" ref="F341:F344" si="55">SUM(H341:I341)</f>
        <v>102.2</v>
      </c>
      <c r="G341" s="143"/>
      <c r="H341" s="143">
        <v>102.2</v>
      </c>
      <c r="I341" s="12"/>
      <c r="J341" s="12"/>
      <c r="K341" s="236" t="s">
        <v>140</v>
      </c>
      <c r="L341" s="99"/>
    </row>
    <row r="342" spans="1:14" ht="15" x14ac:dyDescent="0.25">
      <c r="A342" s="281"/>
      <c r="B342" s="285"/>
      <c r="C342" s="250"/>
      <c r="D342" s="244"/>
      <c r="E342" s="212">
        <v>2018</v>
      </c>
      <c r="F342" s="7">
        <f t="shared" si="55"/>
        <v>129.5</v>
      </c>
      <c r="G342" s="7"/>
      <c r="H342" s="7">
        <v>129.5</v>
      </c>
      <c r="I342" s="14"/>
      <c r="J342" s="14"/>
      <c r="K342" s="244"/>
    </row>
    <row r="343" spans="1:14" ht="15" x14ac:dyDescent="0.25">
      <c r="A343" s="281"/>
      <c r="B343" s="285"/>
      <c r="C343" s="250"/>
      <c r="D343" s="244"/>
      <c r="E343" s="212">
        <v>2019</v>
      </c>
      <c r="F343" s="7">
        <f t="shared" si="55"/>
        <v>46</v>
      </c>
      <c r="G343" s="7"/>
      <c r="H343" s="7">
        <v>46</v>
      </c>
      <c r="I343" s="14"/>
      <c r="J343" s="14"/>
      <c r="K343" s="244"/>
      <c r="L343" s="99"/>
      <c r="N343" s="99" t="s">
        <v>246</v>
      </c>
    </row>
    <row r="344" spans="1:14" ht="15" x14ac:dyDescent="0.25">
      <c r="A344" s="281"/>
      <c r="B344" s="285"/>
      <c r="C344" s="250"/>
      <c r="D344" s="244"/>
      <c r="E344" s="212">
        <v>2020</v>
      </c>
      <c r="F344" s="7">
        <f t="shared" si="55"/>
        <v>46</v>
      </c>
      <c r="G344" s="7"/>
      <c r="H344" s="7">
        <v>46</v>
      </c>
      <c r="I344" s="14"/>
      <c r="J344" s="14"/>
      <c r="K344" s="244"/>
      <c r="N344" s="4" t="s">
        <v>238</v>
      </c>
    </row>
    <row r="345" spans="1:14" ht="15" x14ac:dyDescent="0.25">
      <c r="A345" s="282"/>
      <c r="B345" s="285"/>
      <c r="C345" s="250"/>
      <c r="D345" s="244"/>
      <c r="E345" s="221">
        <v>2021</v>
      </c>
      <c r="F345" s="143">
        <f t="shared" ref="F345:F348" si="56">SUM(H345:I345)</f>
        <v>46</v>
      </c>
      <c r="G345" s="143"/>
      <c r="H345" s="143">
        <v>46</v>
      </c>
      <c r="I345" s="12"/>
      <c r="J345" s="12"/>
      <c r="K345" s="244"/>
      <c r="L345" s="99"/>
    </row>
    <row r="346" spans="1:14" ht="15" x14ac:dyDescent="0.25">
      <c r="A346" s="282"/>
      <c r="B346" s="285"/>
      <c r="C346" s="250"/>
      <c r="D346" s="244"/>
      <c r="E346" s="224">
        <v>2022</v>
      </c>
      <c r="F346" s="7">
        <f t="shared" si="56"/>
        <v>48.3</v>
      </c>
      <c r="G346" s="7"/>
      <c r="H346" s="7">
        <v>48.3</v>
      </c>
      <c r="I346" s="14"/>
      <c r="J346" s="14"/>
      <c r="K346" s="244"/>
    </row>
    <row r="347" spans="1:14" ht="15" x14ac:dyDescent="0.25">
      <c r="A347" s="282"/>
      <c r="B347" s="285"/>
      <c r="C347" s="250"/>
      <c r="D347" s="244"/>
      <c r="E347" s="224">
        <v>2023</v>
      </c>
      <c r="F347" s="7">
        <f t="shared" si="56"/>
        <v>50.5</v>
      </c>
      <c r="G347" s="7"/>
      <c r="H347" s="7">
        <v>50.5</v>
      </c>
      <c r="I347" s="14"/>
      <c r="J347" s="14"/>
      <c r="K347" s="244"/>
      <c r="L347" s="99"/>
      <c r="N347" s="99" t="s">
        <v>246</v>
      </c>
    </row>
    <row r="348" spans="1:14" ht="15" x14ac:dyDescent="0.25">
      <c r="A348" s="282"/>
      <c r="B348" s="285"/>
      <c r="C348" s="250"/>
      <c r="D348" s="244"/>
      <c r="E348" s="224">
        <v>2024</v>
      </c>
      <c r="F348" s="7">
        <f t="shared" si="56"/>
        <v>52.8</v>
      </c>
      <c r="G348" s="7"/>
      <c r="H348" s="7">
        <v>52.8</v>
      </c>
      <c r="I348" s="14"/>
      <c r="J348" s="14"/>
      <c r="K348" s="244"/>
      <c r="N348" s="4" t="s">
        <v>238</v>
      </c>
    </row>
    <row r="349" spans="1:14" ht="15" x14ac:dyDescent="0.25">
      <c r="A349" s="282"/>
      <c r="B349" s="285"/>
      <c r="C349" s="250"/>
      <c r="D349" s="244"/>
      <c r="E349" s="224">
        <v>2025</v>
      </c>
      <c r="F349" s="7">
        <f t="shared" ref="F349" si="57">SUM(H349:I349)</f>
        <v>55.2</v>
      </c>
      <c r="G349" s="7"/>
      <c r="H349" s="7">
        <v>55.2</v>
      </c>
      <c r="I349" s="14"/>
      <c r="J349" s="14"/>
      <c r="K349" s="244"/>
      <c r="N349" s="4" t="s">
        <v>238</v>
      </c>
    </row>
    <row r="350" spans="1:14" ht="48" customHeight="1" thickBot="1" x14ac:dyDescent="0.25">
      <c r="A350" s="282"/>
      <c r="B350" s="286"/>
      <c r="C350" s="235"/>
      <c r="D350" s="244"/>
      <c r="E350" s="18" t="s">
        <v>18</v>
      </c>
      <c r="F350" s="8">
        <f>SUM(F341:F349)</f>
        <v>576.5</v>
      </c>
      <c r="G350" s="8"/>
      <c r="H350" s="8">
        <f>SUM(H341:H349)</f>
        <v>576.5</v>
      </c>
      <c r="I350" s="13"/>
      <c r="J350" s="13"/>
      <c r="K350" s="237"/>
    </row>
    <row r="351" spans="1:14" x14ac:dyDescent="0.2">
      <c r="A351" s="281" t="s">
        <v>121</v>
      </c>
      <c r="B351" s="287" t="s">
        <v>141</v>
      </c>
      <c r="C351" s="234" t="s">
        <v>61</v>
      </c>
      <c r="D351" s="236" t="s">
        <v>209</v>
      </c>
      <c r="E351" s="212">
        <v>2015</v>
      </c>
      <c r="F351" s="14"/>
      <c r="G351" s="14"/>
      <c r="H351" s="14"/>
      <c r="I351" s="14"/>
      <c r="J351" s="14"/>
      <c r="K351" s="236" t="s">
        <v>142</v>
      </c>
    </row>
    <row r="352" spans="1:14" x14ac:dyDescent="0.2">
      <c r="A352" s="281"/>
      <c r="B352" s="285"/>
      <c r="C352" s="250"/>
      <c r="D352" s="244"/>
      <c r="E352" s="212">
        <v>2016</v>
      </c>
      <c r="F352" s="14"/>
      <c r="G352" s="14"/>
      <c r="H352" s="14"/>
      <c r="I352" s="14"/>
      <c r="J352" s="14"/>
      <c r="K352" s="244"/>
    </row>
    <row r="353" spans="1:32" x14ac:dyDescent="0.2">
      <c r="A353" s="281"/>
      <c r="B353" s="285"/>
      <c r="C353" s="250"/>
      <c r="D353" s="244"/>
      <c r="E353" s="212">
        <v>2017</v>
      </c>
      <c r="F353" s="14"/>
      <c r="G353" s="14"/>
      <c r="H353" s="14"/>
      <c r="I353" s="14"/>
      <c r="J353" s="14"/>
      <c r="K353" s="244"/>
    </row>
    <row r="354" spans="1:32" x14ac:dyDescent="0.2">
      <c r="A354" s="281"/>
      <c r="B354" s="285"/>
      <c r="C354" s="250"/>
      <c r="D354" s="244"/>
      <c r="E354" s="212">
        <v>2018</v>
      </c>
      <c r="F354" s="14"/>
      <c r="G354" s="14"/>
      <c r="H354" s="14"/>
      <c r="I354" s="14"/>
      <c r="J354" s="14"/>
      <c r="K354" s="244"/>
    </row>
    <row r="355" spans="1:32" x14ac:dyDescent="0.2">
      <c r="A355" s="281"/>
      <c r="B355" s="285"/>
      <c r="C355" s="250"/>
      <c r="D355" s="244"/>
      <c r="E355" s="212">
        <v>2019</v>
      </c>
      <c r="F355" s="14"/>
      <c r="G355" s="14"/>
      <c r="H355" s="14"/>
      <c r="I355" s="14"/>
      <c r="J355" s="14"/>
      <c r="K355" s="244"/>
    </row>
    <row r="356" spans="1:32" x14ac:dyDescent="0.2">
      <c r="A356" s="281"/>
      <c r="B356" s="285"/>
      <c r="C356" s="250"/>
      <c r="D356" s="244"/>
      <c r="E356" s="212">
        <v>2020</v>
      </c>
      <c r="F356" s="14"/>
      <c r="G356" s="14"/>
      <c r="H356" s="14"/>
      <c r="I356" s="14"/>
      <c r="J356" s="14"/>
      <c r="K356" s="244"/>
    </row>
    <row r="357" spans="1:32" ht="13.5" thickBot="1" x14ac:dyDescent="0.25">
      <c r="A357" s="282"/>
      <c r="B357" s="285"/>
      <c r="C357" s="250"/>
      <c r="D357" s="244"/>
      <c r="E357" s="26" t="s">
        <v>18</v>
      </c>
      <c r="F357" s="22"/>
      <c r="G357" s="22"/>
      <c r="H357" s="22"/>
      <c r="I357" s="22"/>
      <c r="J357" s="22"/>
      <c r="K357" s="244"/>
    </row>
    <row r="358" spans="1:32" ht="15.75" thickBot="1" x14ac:dyDescent="0.25">
      <c r="A358" s="507" t="s">
        <v>199</v>
      </c>
      <c r="B358" s="508"/>
      <c r="C358" s="508"/>
      <c r="D358" s="508"/>
      <c r="E358" s="96"/>
      <c r="F358" s="148">
        <f>F317+F340+F350+F327</f>
        <v>7674785.5</v>
      </c>
      <c r="G358" s="148"/>
      <c r="H358" s="148">
        <f>H317+H340+H350+H327+H357</f>
        <v>7633962</v>
      </c>
      <c r="I358" s="149">
        <f>I317+I340+I350+I327+I357</f>
        <v>40823.500000000007</v>
      </c>
      <c r="J358" s="97"/>
      <c r="K358" s="98"/>
      <c r="L358" s="126"/>
      <c r="M358" s="127"/>
    </row>
    <row r="359" spans="1:32" ht="16.5" customHeight="1" thickBot="1" x14ac:dyDescent="0.3">
      <c r="A359" s="329" t="s">
        <v>181</v>
      </c>
      <c r="B359" s="330"/>
      <c r="C359" s="330"/>
      <c r="D359" s="330"/>
      <c r="E359" s="330"/>
      <c r="F359" s="330"/>
      <c r="G359" s="330"/>
      <c r="H359" s="330"/>
      <c r="I359" s="330"/>
      <c r="J359" s="330"/>
      <c r="K359" s="330"/>
      <c r="L359" s="87"/>
      <c r="M359" s="87"/>
      <c r="N359" s="87"/>
      <c r="O359" s="87"/>
      <c r="P359" s="87"/>
      <c r="Q359" s="87"/>
      <c r="R359" s="87"/>
      <c r="S359" s="87"/>
      <c r="T359" s="87"/>
      <c r="U359" s="87"/>
      <c r="V359" s="87"/>
      <c r="W359" s="87"/>
      <c r="X359" s="87"/>
      <c r="Y359" s="87"/>
      <c r="Z359" s="87"/>
      <c r="AA359" s="87"/>
      <c r="AB359" s="87"/>
      <c r="AC359" s="87"/>
      <c r="AD359" s="87"/>
      <c r="AE359" s="87"/>
      <c r="AF359" s="88"/>
    </row>
    <row r="360" spans="1:32" ht="135" customHeight="1" thickBot="1" x14ac:dyDescent="0.25">
      <c r="A360" s="509" t="s">
        <v>66</v>
      </c>
      <c r="B360" s="510"/>
      <c r="C360" s="510"/>
      <c r="D360" s="510"/>
      <c r="E360" s="510"/>
      <c r="F360" s="510"/>
      <c r="G360" s="510"/>
      <c r="H360" s="510"/>
      <c r="I360" s="510"/>
      <c r="J360" s="510"/>
      <c r="K360" s="511"/>
    </row>
    <row r="361" spans="1:32" ht="15" x14ac:dyDescent="0.25">
      <c r="A361" s="281" t="s">
        <v>91</v>
      </c>
      <c r="B361" s="287" t="s">
        <v>227</v>
      </c>
      <c r="C361" s="234" t="s">
        <v>408</v>
      </c>
      <c r="D361" s="236" t="s">
        <v>209</v>
      </c>
      <c r="E361" s="212">
        <v>2015</v>
      </c>
      <c r="F361" s="7">
        <f t="shared" ref="F361:F366" si="58">SUM(G361:H361)</f>
        <v>29177</v>
      </c>
      <c r="G361" s="7"/>
      <c r="H361" s="7">
        <f>25777+3400</f>
        <v>29177</v>
      </c>
      <c r="I361" s="14"/>
      <c r="J361" s="14"/>
      <c r="K361" s="236" t="s">
        <v>143</v>
      </c>
    </row>
    <row r="362" spans="1:32" ht="15" x14ac:dyDescent="0.25">
      <c r="A362" s="281"/>
      <c r="B362" s="288"/>
      <c r="C362" s="250"/>
      <c r="D362" s="244"/>
      <c r="E362" s="212">
        <v>2016</v>
      </c>
      <c r="F362" s="7">
        <f t="shared" si="58"/>
        <v>31021</v>
      </c>
      <c r="G362" s="7"/>
      <c r="H362" s="7">
        <f>32323-1302</f>
        <v>31021</v>
      </c>
      <c r="I362" s="14"/>
      <c r="J362" s="14"/>
      <c r="K362" s="244"/>
      <c r="L362" s="99"/>
    </row>
    <row r="363" spans="1:32" ht="15" x14ac:dyDescent="0.25">
      <c r="A363" s="281"/>
      <c r="B363" s="288"/>
      <c r="C363" s="250"/>
      <c r="D363" s="244"/>
      <c r="E363" s="212">
        <v>2017</v>
      </c>
      <c r="F363" s="7">
        <f t="shared" si="58"/>
        <v>29945.1</v>
      </c>
      <c r="G363" s="7"/>
      <c r="H363" s="7">
        <f>31493.1-1548</f>
        <v>29945.1</v>
      </c>
      <c r="I363" s="14"/>
      <c r="J363" s="14"/>
      <c r="K363" s="244"/>
      <c r="L363" s="99"/>
    </row>
    <row r="364" spans="1:32" ht="15" x14ac:dyDescent="0.25">
      <c r="A364" s="281"/>
      <c r="B364" s="288"/>
      <c r="C364" s="250"/>
      <c r="D364" s="244"/>
      <c r="E364" s="212">
        <v>2018</v>
      </c>
      <c r="F364" s="7">
        <f t="shared" si="58"/>
        <v>33455.799999999996</v>
      </c>
      <c r="G364" s="7"/>
      <c r="H364" s="7">
        <f>33846.7-390.9</f>
        <v>33455.799999999996</v>
      </c>
      <c r="I364" s="14"/>
      <c r="J364" s="14"/>
      <c r="K364" s="244"/>
      <c r="L364" s="99" t="s">
        <v>356</v>
      </c>
      <c r="M364" s="99" t="s">
        <v>357</v>
      </c>
      <c r="N364" s="106"/>
    </row>
    <row r="365" spans="1:32" ht="15" x14ac:dyDescent="0.25">
      <c r="A365" s="281"/>
      <c r="B365" s="288"/>
      <c r="C365" s="250"/>
      <c r="D365" s="244"/>
      <c r="E365" s="212">
        <v>2019</v>
      </c>
      <c r="F365" s="7">
        <f t="shared" si="58"/>
        <v>38793</v>
      </c>
      <c r="G365" s="7"/>
      <c r="H365" s="7">
        <v>38793</v>
      </c>
      <c r="I365" s="14"/>
      <c r="J365" s="14"/>
      <c r="K365" s="244"/>
      <c r="N365" s="106"/>
    </row>
    <row r="366" spans="1:32" ht="15" x14ac:dyDescent="0.25">
      <c r="A366" s="281"/>
      <c r="B366" s="288"/>
      <c r="C366" s="250"/>
      <c r="D366" s="244"/>
      <c r="E366" s="212">
        <v>2020</v>
      </c>
      <c r="F366" s="7">
        <f t="shared" si="58"/>
        <v>41914.1</v>
      </c>
      <c r="G366" s="7"/>
      <c r="H366" s="7">
        <v>41914.1</v>
      </c>
      <c r="I366" s="14"/>
      <c r="J366" s="14"/>
      <c r="K366" s="244"/>
      <c r="N366" s="28"/>
    </row>
    <row r="367" spans="1:32" ht="15" x14ac:dyDescent="0.25">
      <c r="A367" s="282"/>
      <c r="B367" s="288"/>
      <c r="C367" s="250"/>
      <c r="D367" s="244"/>
      <c r="E367" s="224">
        <v>2021</v>
      </c>
      <c r="F367" s="7">
        <f t="shared" ref="F367:F371" si="59">SUM(G367:H367)</f>
        <v>44735.8</v>
      </c>
      <c r="G367" s="7"/>
      <c r="H367" s="7">
        <v>44735.8</v>
      </c>
      <c r="I367" s="14"/>
      <c r="J367" s="14"/>
      <c r="K367" s="244"/>
      <c r="L367" s="99"/>
    </row>
    <row r="368" spans="1:32" ht="15" x14ac:dyDescent="0.25">
      <c r="A368" s="282"/>
      <c r="B368" s="288"/>
      <c r="C368" s="250"/>
      <c r="D368" s="244"/>
      <c r="E368" s="224">
        <v>2022</v>
      </c>
      <c r="F368" s="7">
        <f t="shared" si="59"/>
        <v>51000</v>
      </c>
      <c r="G368" s="7"/>
      <c r="H368" s="7">
        <v>51000</v>
      </c>
      <c r="I368" s="14"/>
      <c r="J368" s="14"/>
      <c r="K368" s="244"/>
      <c r="L368" s="99"/>
    </row>
    <row r="369" spans="1:14" ht="15" x14ac:dyDescent="0.25">
      <c r="A369" s="282"/>
      <c r="B369" s="288"/>
      <c r="C369" s="250"/>
      <c r="D369" s="244"/>
      <c r="E369" s="224">
        <v>2023</v>
      </c>
      <c r="F369" s="7">
        <f t="shared" si="59"/>
        <v>53346</v>
      </c>
      <c r="G369" s="7"/>
      <c r="H369" s="7">
        <v>53346</v>
      </c>
      <c r="I369" s="14"/>
      <c r="J369" s="14"/>
      <c r="K369" s="244"/>
      <c r="L369" s="99" t="s">
        <v>356</v>
      </c>
      <c r="M369" s="99" t="s">
        <v>357</v>
      </c>
      <c r="N369" s="106"/>
    </row>
    <row r="370" spans="1:14" ht="15" x14ac:dyDescent="0.25">
      <c r="A370" s="282"/>
      <c r="B370" s="288"/>
      <c r="C370" s="250"/>
      <c r="D370" s="244"/>
      <c r="E370" s="224">
        <v>2024</v>
      </c>
      <c r="F370" s="7">
        <f t="shared" si="59"/>
        <v>55800</v>
      </c>
      <c r="G370" s="7"/>
      <c r="H370" s="7">
        <v>55800</v>
      </c>
      <c r="I370" s="14"/>
      <c r="J370" s="14"/>
      <c r="K370" s="244"/>
      <c r="N370" s="106"/>
    </row>
    <row r="371" spans="1:14" ht="15" x14ac:dyDescent="0.25">
      <c r="A371" s="282"/>
      <c r="B371" s="288"/>
      <c r="C371" s="250"/>
      <c r="D371" s="244"/>
      <c r="E371" s="224">
        <v>2025</v>
      </c>
      <c r="F371" s="7">
        <f t="shared" si="59"/>
        <v>58367</v>
      </c>
      <c r="G371" s="7"/>
      <c r="H371" s="7">
        <v>58367</v>
      </c>
      <c r="I371" s="14"/>
      <c r="J371" s="14"/>
      <c r="K371" s="244"/>
      <c r="N371" s="28"/>
    </row>
    <row r="372" spans="1:14" ht="42.75" customHeight="1" x14ac:dyDescent="0.2">
      <c r="A372" s="282"/>
      <c r="B372" s="288"/>
      <c r="C372" s="235"/>
      <c r="D372" s="244"/>
      <c r="E372" s="18" t="s">
        <v>18</v>
      </c>
      <c r="F372" s="8">
        <f>SUM(F361:F371)</f>
        <v>467554.8</v>
      </c>
      <c r="G372" s="8"/>
      <c r="H372" s="8">
        <f>SUM(H361:H371)</f>
        <v>467554.8</v>
      </c>
      <c r="I372" s="13"/>
      <c r="J372" s="13"/>
      <c r="K372" s="237"/>
    </row>
    <row r="373" spans="1:14" ht="15" x14ac:dyDescent="0.25">
      <c r="A373" s="276" t="s">
        <v>67</v>
      </c>
      <c r="B373" s="278" t="s">
        <v>129</v>
      </c>
      <c r="C373" s="234" t="s">
        <v>68</v>
      </c>
      <c r="D373" s="236" t="s">
        <v>209</v>
      </c>
      <c r="E373" s="212">
        <v>2015</v>
      </c>
      <c r="F373" s="7">
        <f t="shared" ref="F373:F378" si="60">SUM(G373:I373)</f>
        <v>470.20000000000005</v>
      </c>
      <c r="G373" s="7"/>
      <c r="H373" s="7">
        <f>416.1+54.1</f>
        <v>470.20000000000005</v>
      </c>
      <c r="I373" s="7"/>
      <c r="J373" s="14"/>
      <c r="K373" s="324" t="s">
        <v>143</v>
      </c>
    </row>
    <row r="374" spans="1:14" ht="15" x14ac:dyDescent="0.25">
      <c r="A374" s="276"/>
      <c r="B374" s="279"/>
      <c r="C374" s="238"/>
      <c r="D374" s="244"/>
      <c r="E374" s="212">
        <v>2016</v>
      </c>
      <c r="F374" s="7">
        <f t="shared" si="60"/>
        <v>305.39999999999998</v>
      </c>
      <c r="G374" s="7"/>
      <c r="H374" s="7">
        <f>261.2+44.2</f>
        <v>305.39999999999998</v>
      </c>
      <c r="I374" s="7"/>
      <c r="J374" s="14"/>
      <c r="K374" s="325"/>
    </row>
    <row r="375" spans="1:14" ht="15" x14ac:dyDescent="0.25">
      <c r="A375" s="276"/>
      <c r="B375" s="279"/>
      <c r="C375" s="238"/>
      <c r="D375" s="244"/>
      <c r="E375" s="212">
        <v>2017</v>
      </c>
      <c r="F375" s="7">
        <f t="shared" si="60"/>
        <v>454</v>
      </c>
      <c r="G375" s="7"/>
      <c r="H375" s="7">
        <v>454</v>
      </c>
      <c r="I375" s="7"/>
      <c r="J375" s="14"/>
      <c r="K375" s="325"/>
      <c r="L375" s="99"/>
      <c r="M375" s="107"/>
    </row>
    <row r="376" spans="1:14" ht="15" x14ac:dyDescent="0.25">
      <c r="A376" s="276"/>
      <c r="B376" s="279"/>
      <c r="C376" s="238"/>
      <c r="D376" s="244"/>
      <c r="E376" s="212">
        <v>2018</v>
      </c>
      <c r="F376" s="7">
        <f t="shared" si="60"/>
        <v>494</v>
      </c>
      <c r="G376" s="7"/>
      <c r="H376" s="7">
        <v>494</v>
      </c>
      <c r="I376" s="7"/>
      <c r="J376" s="14"/>
      <c r="K376" s="325"/>
      <c r="N376" s="106"/>
    </row>
    <row r="377" spans="1:14" ht="15" x14ac:dyDescent="0.25">
      <c r="A377" s="276"/>
      <c r="B377" s="279"/>
      <c r="C377" s="238"/>
      <c r="D377" s="244"/>
      <c r="E377" s="212">
        <v>2019</v>
      </c>
      <c r="F377" s="7">
        <f t="shared" ref="F377" si="61">SUM(G377:I377)</f>
        <v>369.8</v>
      </c>
      <c r="G377" s="7"/>
      <c r="H377" s="7">
        <v>369.8</v>
      </c>
      <c r="I377" s="7"/>
      <c r="J377" s="14"/>
      <c r="K377" s="325"/>
      <c r="N377" s="106"/>
    </row>
    <row r="378" spans="1:14" ht="15" x14ac:dyDescent="0.25">
      <c r="A378" s="276"/>
      <c r="B378" s="279"/>
      <c r="C378" s="238"/>
      <c r="D378" s="244"/>
      <c r="E378" s="212">
        <v>2020</v>
      </c>
      <c r="F378" s="7">
        <f t="shared" si="60"/>
        <v>369.8</v>
      </c>
      <c r="G378" s="7"/>
      <c r="H378" s="7">
        <v>369.8</v>
      </c>
      <c r="I378" s="7"/>
      <c r="J378" s="14"/>
      <c r="K378" s="325"/>
    </row>
    <row r="379" spans="1:14" ht="15" x14ac:dyDescent="0.25">
      <c r="A379" s="276"/>
      <c r="B379" s="280"/>
      <c r="C379" s="238"/>
      <c r="D379" s="244"/>
      <c r="E379" s="224">
        <v>2021</v>
      </c>
      <c r="F379" s="7">
        <f t="shared" ref="F379:F381" si="62">SUM(G379:I379)</f>
        <v>369.8</v>
      </c>
      <c r="G379" s="7"/>
      <c r="H379" s="7">
        <v>369.8</v>
      </c>
      <c r="I379" s="7"/>
      <c r="J379" s="14"/>
      <c r="K379" s="325"/>
    </row>
    <row r="380" spans="1:14" ht="15" x14ac:dyDescent="0.25">
      <c r="A380" s="276"/>
      <c r="B380" s="280"/>
      <c r="C380" s="238"/>
      <c r="D380" s="244"/>
      <c r="E380" s="224">
        <v>2022</v>
      </c>
      <c r="F380" s="7">
        <f t="shared" si="62"/>
        <v>400</v>
      </c>
      <c r="G380" s="7"/>
      <c r="H380" s="7">
        <v>400</v>
      </c>
      <c r="I380" s="7"/>
      <c r="J380" s="14"/>
      <c r="K380" s="325"/>
      <c r="L380" s="99"/>
      <c r="M380" s="107"/>
    </row>
    <row r="381" spans="1:14" ht="15" x14ac:dyDescent="0.25">
      <c r="A381" s="276"/>
      <c r="B381" s="280"/>
      <c r="C381" s="238"/>
      <c r="D381" s="244"/>
      <c r="E381" s="224">
        <v>2023</v>
      </c>
      <c r="F381" s="7">
        <f t="shared" si="62"/>
        <v>418</v>
      </c>
      <c r="G381" s="7"/>
      <c r="H381" s="7">
        <v>418</v>
      </c>
      <c r="I381" s="7"/>
      <c r="J381" s="14"/>
      <c r="K381" s="325"/>
      <c r="N381" s="106"/>
    </row>
    <row r="382" spans="1:14" ht="15" x14ac:dyDescent="0.25">
      <c r="A382" s="276"/>
      <c r="B382" s="280"/>
      <c r="C382" s="238"/>
      <c r="D382" s="244"/>
      <c r="E382" s="224">
        <v>2024</v>
      </c>
      <c r="F382" s="7">
        <f t="shared" ref="F382" si="63">SUM(G382:I382)</f>
        <v>437</v>
      </c>
      <c r="G382" s="7"/>
      <c r="H382" s="7">
        <v>437</v>
      </c>
      <c r="I382" s="7"/>
      <c r="J382" s="14"/>
      <c r="K382" s="325"/>
      <c r="N382" s="106"/>
    </row>
    <row r="383" spans="1:14" ht="15" x14ac:dyDescent="0.25">
      <c r="A383" s="276"/>
      <c r="B383" s="280"/>
      <c r="C383" s="238"/>
      <c r="D383" s="244"/>
      <c r="E383" s="224">
        <v>2025</v>
      </c>
      <c r="F383" s="7">
        <f t="shared" ref="F383" si="64">SUM(G383:I383)</f>
        <v>457</v>
      </c>
      <c r="G383" s="7"/>
      <c r="H383" s="7">
        <v>457</v>
      </c>
      <c r="I383" s="7"/>
      <c r="J383" s="14"/>
      <c r="K383" s="325"/>
    </row>
    <row r="384" spans="1:14" ht="15" x14ac:dyDescent="0.25">
      <c r="A384" s="276"/>
      <c r="B384" s="280"/>
      <c r="C384" s="239"/>
      <c r="D384" s="244"/>
      <c r="E384" s="18" t="s">
        <v>18</v>
      </c>
      <c r="F384" s="8">
        <f>SUM(F373:F383)</f>
        <v>4545</v>
      </c>
      <c r="G384" s="8"/>
      <c r="H384" s="8">
        <f>SUM(H373:H383)</f>
        <v>4545</v>
      </c>
      <c r="I384" s="7"/>
      <c r="J384" s="14"/>
      <c r="K384" s="326"/>
    </row>
    <row r="385" spans="1:22" ht="15" x14ac:dyDescent="0.25">
      <c r="A385" s="276" t="s">
        <v>281</v>
      </c>
      <c r="B385" s="278" t="s">
        <v>127</v>
      </c>
      <c r="C385" s="234" t="s">
        <v>68</v>
      </c>
      <c r="D385" s="236" t="s">
        <v>209</v>
      </c>
      <c r="E385" s="212">
        <v>2015</v>
      </c>
      <c r="F385" s="7">
        <f t="shared" ref="F385:F390" si="65">SUM(G385:J385)</f>
        <v>5042</v>
      </c>
      <c r="G385" s="7"/>
      <c r="H385" s="7">
        <v>4991.6000000000004</v>
      </c>
      <c r="I385" s="7">
        <v>50.4</v>
      </c>
      <c r="J385" s="14"/>
      <c r="K385" s="236" t="s">
        <v>143</v>
      </c>
    </row>
    <row r="386" spans="1:22" ht="15" x14ac:dyDescent="0.25">
      <c r="A386" s="276"/>
      <c r="B386" s="279"/>
      <c r="C386" s="238"/>
      <c r="D386" s="244"/>
      <c r="E386" s="212">
        <v>2016</v>
      </c>
      <c r="F386" s="7">
        <f t="shared" si="65"/>
        <v>0</v>
      </c>
      <c r="G386" s="7"/>
      <c r="H386" s="7"/>
      <c r="I386" s="7"/>
      <c r="J386" s="14"/>
      <c r="K386" s="244"/>
    </row>
    <row r="387" spans="1:22" ht="15" x14ac:dyDescent="0.25">
      <c r="A387" s="276"/>
      <c r="B387" s="279"/>
      <c r="C387" s="238"/>
      <c r="D387" s="244"/>
      <c r="E387" s="212">
        <v>2017</v>
      </c>
      <c r="F387" s="7">
        <f t="shared" si="65"/>
        <v>0</v>
      </c>
      <c r="G387" s="7"/>
      <c r="H387" s="7"/>
      <c r="I387" s="7"/>
      <c r="J387" s="14"/>
      <c r="K387" s="244"/>
      <c r="L387" s="99"/>
    </row>
    <row r="388" spans="1:22" ht="15" x14ac:dyDescent="0.25">
      <c r="A388" s="276"/>
      <c r="B388" s="279"/>
      <c r="C388" s="238"/>
      <c r="D388" s="244"/>
      <c r="E388" s="212">
        <v>2018</v>
      </c>
      <c r="F388" s="7">
        <f t="shared" si="65"/>
        <v>0</v>
      </c>
      <c r="G388" s="7"/>
      <c r="H388" s="7"/>
      <c r="I388" s="7"/>
      <c r="J388" s="14"/>
      <c r="K388" s="244"/>
      <c r="L388" s="99"/>
    </row>
    <row r="389" spans="1:22" ht="15" x14ac:dyDescent="0.25">
      <c r="A389" s="276"/>
      <c r="B389" s="279"/>
      <c r="C389" s="238"/>
      <c r="D389" s="244"/>
      <c r="E389" s="212">
        <v>2019</v>
      </c>
      <c r="F389" s="7">
        <f t="shared" si="65"/>
        <v>0</v>
      </c>
      <c r="G389" s="7"/>
      <c r="H389" s="7"/>
      <c r="I389" s="7"/>
      <c r="J389" s="14"/>
      <c r="K389" s="244"/>
    </row>
    <row r="390" spans="1:22" ht="15" x14ac:dyDescent="0.25">
      <c r="A390" s="276"/>
      <c r="B390" s="279"/>
      <c r="C390" s="238"/>
      <c r="D390" s="244"/>
      <c r="E390" s="212">
        <v>2020</v>
      </c>
      <c r="F390" s="7">
        <f t="shared" si="65"/>
        <v>0</v>
      </c>
      <c r="G390" s="7"/>
      <c r="H390" s="7"/>
      <c r="I390" s="7"/>
      <c r="J390" s="14"/>
      <c r="K390" s="244"/>
    </row>
    <row r="391" spans="1:22" ht="45" customHeight="1" x14ac:dyDescent="0.2">
      <c r="A391" s="276"/>
      <c r="B391" s="279"/>
      <c r="C391" s="239"/>
      <c r="D391" s="244"/>
      <c r="E391" s="18" t="s">
        <v>18</v>
      </c>
      <c r="F391" s="9">
        <f>SUM(F385:F390)</f>
        <v>5042</v>
      </c>
      <c r="G391" s="9"/>
      <c r="H391" s="9">
        <f>SUM(H385:H390)</f>
        <v>4991.6000000000004</v>
      </c>
      <c r="I391" s="9">
        <f>SUM(I385:I390)</f>
        <v>50.4</v>
      </c>
      <c r="J391" s="44"/>
      <c r="K391" s="237"/>
    </row>
    <row r="392" spans="1:22" ht="12.75" customHeight="1" x14ac:dyDescent="0.25">
      <c r="A392" s="283" t="s">
        <v>130</v>
      </c>
      <c r="B392" s="240" t="s">
        <v>302</v>
      </c>
      <c r="C392" s="234" t="s">
        <v>410</v>
      </c>
      <c r="D392" s="236" t="s">
        <v>209</v>
      </c>
      <c r="E392" s="212">
        <v>2015</v>
      </c>
      <c r="F392" s="7">
        <f t="shared" ref="F392:F397" si="66">SUM(G392:J392)</f>
        <v>0</v>
      </c>
      <c r="G392" s="7"/>
      <c r="H392" s="7"/>
      <c r="I392" s="7">
        <v>0</v>
      </c>
      <c r="J392" s="14"/>
      <c r="K392" s="236" t="s">
        <v>144</v>
      </c>
    </row>
    <row r="393" spans="1:22" ht="12.75" customHeight="1" x14ac:dyDescent="0.25">
      <c r="A393" s="281"/>
      <c r="B393" s="241"/>
      <c r="C393" s="238"/>
      <c r="D393" s="244"/>
      <c r="E393" s="212">
        <v>2016</v>
      </c>
      <c r="F393" s="7">
        <f t="shared" si="66"/>
        <v>2152.1</v>
      </c>
      <c r="G393" s="7"/>
      <c r="H393" s="7"/>
      <c r="I393" s="7">
        <f>2194.1-42</f>
        <v>2152.1</v>
      </c>
      <c r="J393" s="14"/>
      <c r="K393" s="244"/>
      <c r="L393" s="99"/>
    </row>
    <row r="394" spans="1:22" ht="12.75" customHeight="1" x14ac:dyDescent="0.25">
      <c r="A394" s="281"/>
      <c r="B394" s="241"/>
      <c r="C394" s="238"/>
      <c r="D394" s="244"/>
      <c r="E394" s="212">
        <v>2017</v>
      </c>
      <c r="F394" s="7">
        <f t="shared" si="66"/>
        <v>6504.1</v>
      </c>
      <c r="G394" s="7"/>
      <c r="H394" s="7"/>
      <c r="I394" s="7">
        <f>1996.4+4505.7+2</f>
        <v>6504.1</v>
      </c>
      <c r="J394" s="14"/>
      <c r="K394" s="244"/>
      <c r="L394" s="99" t="s">
        <v>359</v>
      </c>
      <c r="M394" s="125" t="s">
        <v>340</v>
      </c>
      <c r="N394" s="109"/>
      <c r="O394" s="121">
        <v>2589.1999999999998</v>
      </c>
      <c r="P394" s="109"/>
      <c r="Q394" s="121" t="s">
        <v>341</v>
      </c>
      <c r="R394" s="109"/>
      <c r="S394" s="109"/>
      <c r="T394" s="112">
        <v>1596.5</v>
      </c>
      <c r="U394" s="121" t="s">
        <v>342</v>
      </c>
      <c r="V394" s="112"/>
    </row>
    <row r="395" spans="1:22" ht="12.75" customHeight="1" x14ac:dyDescent="0.25">
      <c r="A395" s="281"/>
      <c r="B395" s="241"/>
      <c r="C395" s="238"/>
      <c r="D395" s="244"/>
      <c r="E395" s="212">
        <v>2018</v>
      </c>
      <c r="F395" s="7">
        <f t="shared" si="66"/>
        <v>7185.9000000000005</v>
      </c>
      <c r="G395" s="7"/>
      <c r="H395" s="7"/>
      <c r="I395" s="7">
        <f>6972.3+213.6</f>
        <v>7185.9000000000005</v>
      </c>
      <c r="J395" s="14"/>
      <c r="K395" s="244"/>
      <c r="L395" s="99"/>
    </row>
    <row r="396" spans="1:22" ht="12.75" customHeight="1" x14ac:dyDescent="0.25">
      <c r="A396" s="281"/>
      <c r="B396" s="241"/>
      <c r="C396" s="238"/>
      <c r="D396" s="244"/>
      <c r="E396" s="212">
        <v>2019</v>
      </c>
      <c r="F396" s="7">
        <f t="shared" si="66"/>
        <v>7501</v>
      </c>
      <c r="G396" s="7"/>
      <c r="H396" s="7"/>
      <c r="I396" s="7">
        <f>6782.5+718.5</f>
        <v>7501</v>
      </c>
      <c r="J396" s="14"/>
      <c r="K396" s="244"/>
    </row>
    <row r="397" spans="1:22" ht="12.75" customHeight="1" x14ac:dyDescent="0.25">
      <c r="A397" s="281"/>
      <c r="B397" s="241"/>
      <c r="C397" s="238"/>
      <c r="D397" s="244"/>
      <c r="E397" s="212">
        <v>2020</v>
      </c>
      <c r="F397" s="7">
        <f t="shared" si="66"/>
        <v>3677.5</v>
      </c>
      <c r="G397" s="7"/>
      <c r="H397" s="7"/>
      <c r="I397" s="7">
        <v>3677.5</v>
      </c>
      <c r="J397" s="14"/>
      <c r="K397" s="244"/>
    </row>
    <row r="398" spans="1:22" ht="12.75" customHeight="1" x14ac:dyDescent="0.25">
      <c r="A398" s="282"/>
      <c r="B398" s="249"/>
      <c r="C398" s="238"/>
      <c r="D398" s="244"/>
      <c r="E398" s="224">
        <v>2021</v>
      </c>
      <c r="F398" s="7">
        <f t="shared" ref="F398:F402" si="67">SUM(G398:J398)</f>
        <v>2083.1</v>
      </c>
      <c r="G398" s="7"/>
      <c r="H398" s="7"/>
      <c r="I398" s="7">
        <v>2083.1</v>
      </c>
      <c r="J398" s="14"/>
      <c r="K398" s="244"/>
      <c r="L398" s="99"/>
    </row>
    <row r="399" spans="1:22" ht="12.75" customHeight="1" x14ac:dyDescent="0.25">
      <c r="A399" s="282"/>
      <c r="B399" s="249"/>
      <c r="C399" s="238"/>
      <c r="D399" s="244"/>
      <c r="E399" s="224">
        <v>2022</v>
      </c>
      <c r="F399" s="7">
        <f t="shared" si="67"/>
        <v>2166.4</v>
      </c>
      <c r="G399" s="7"/>
      <c r="H399" s="7"/>
      <c r="I399" s="7">
        <v>2166.4</v>
      </c>
      <c r="J399" s="14"/>
      <c r="K399" s="244"/>
      <c r="L399" s="99" t="s">
        <v>359</v>
      </c>
      <c r="M399" s="125" t="s">
        <v>340</v>
      </c>
      <c r="N399" s="109"/>
      <c r="O399" s="121">
        <v>2589.1999999999998</v>
      </c>
      <c r="P399" s="109"/>
      <c r="Q399" s="121" t="s">
        <v>341</v>
      </c>
      <c r="R399" s="109"/>
      <c r="S399" s="109"/>
      <c r="T399" s="112">
        <v>1596.5</v>
      </c>
      <c r="U399" s="121" t="s">
        <v>342</v>
      </c>
      <c r="V399" s="112"/>
    </row>
    <row r="400" spans="1:22" ht="12.75" customHeight="1" x14ac:dyDescent="0.25">
      <c r="A400" s="282"/>
      <c r="B400" s="249"/>
      <c r="C400" s="238"/>
      <c r="D400" s="244"/>
      <c r="E400" s="224">
        <v>2023</v>
      </c>
      <c r="F400" s="7">
        <f t="shared" si="67"/>
        <v>2253</v>
      </c>
      <c r="G400" s="7"/>
      <c r="H400" s="7"/>
      <c r="I400" s="7">
        <v>2253</v>
      </c>
      <c r="J400" s="14"/>
      <c r="K400" s="244"/>
      <c r="L400" s="99"/>
    </row>
    <row r="401" spans="1:16" ht="12.75" customHeight="1" x14ac:dyDescent="0.25">
      <c r="A401" s="282"/>
      <c r="B401" s="249"/>
      <c r="C401" s="238"/>
      <c r="D401" s="244"/>
      <c r="E401" s="224">
        <v>2024</v>
      </c>
      <c r="F401" s="7">
        <f t="shared" si="67"/>
        <v>2343</v>
      </c>
      <c r="G401" s="7"/>
      <c r="H401" s="7"/>
      <c r="I401" s="7">
        <v>2343</v>
      </c>
      <c r="J401" s="14"/>
      <c r="K401" s="244"/>
    </row>
    <row r="402" spans="1:16" ht="12.75" customHeight="1" x14ac:dyDescent="0.25">
      <c r="A402" s="282"/>
      <c r="B402" s="249"/>
      <c r="C402" s="238"/>
      <c r="D402" s="244"/>
      <c r="E402" s="224">
        <v>2025</v>
      </c>
      <c r="F402" s="7">
        <f t="shared" si="67"/>
        <v>2437</v>
      </c>
      <c r="G402" s="7"/>
      <c r="H402" s="7"/>
      <c r="I402" s="7">
        <v>2437</v>
      </c>
      <c r="J402" s="14"/>
      <c r="K402" s="244"/>
    </row>
    <row r="403" spans="1:16" ht="30.75" customHeight="1" x14ac:dyDescent="0.2">
      <c r="A403" s="282"/>
      <c r="B403" s="249"/>
      <c r="C403" s="239"/>
      <c r="D403" s="244"/>
      <c r="E403" s="18" t="s">
        <v>18</v>
      </c>
      <c r="F403" s="9">
        <f>SUM(F392:F402)</f>
        <v>38303.100000000006</v>
      </c>
      <c r="G403" s="9"/>
      <c r="H403" s="9">
        <f>SUM(H392:H397)</f>
        <v>0</v>
      </c>
      <c r="I403" s="9">
        <f>SUM(I392:I402)</f>
        <v>38303.100000000006</v>
      </c>
      <c r="J403" s="44"/>
      <c r="K403" s="237"/>
    </row>
    <row r="404" spans="1:16" ht="13.5" customHeight="1" x14ac:dyDescent="0.25">
      <c r="A404" s="276" t="s">
        <v>235</v>
      </c>
      <c r="B404" s="240" t="s">
        <v>236</v>
      </c>
      <c r="C404" s="242" t="s">
        <v>406</v>
      </c>
      <c r="D404" s="277" t="s">
        <v>209</v>
      </c>
      <c r="E404" s="212">
        <v>2016</v>
      </c>
      <c r="F404" s="7">
        <f>G404+H404+I404</f>
        <v>42</v>
      </c>
      <c r="G404" s="8"/>
      <c r="H404" s="8"/>
      <c r="I404" s="7">
        <v>42</v>
      </c>
      <c r="J404" s="14"/>
      <c r="K404" s="277" t="s">
        <v>135</v>
      </c>
      <c r="L404" s="99"/>
    </row>
    <row r="405" spans="1:16" ht="13.5" customHeight="1" x14ac:dyDescent="0.25">
      <c r="A405" s="276"/>
      <c r="B405" s="240"/>
      <c r="C405" s="242"/>
      <c r="D405" s="277"/>
      <c r="E405" s="212">
        <v>2017</v>
      </c>
      <c r="F405" s="7">
        <f t="shared" ref="F405:F408" si="68">G405+H405+I405</f>
        <v>693.9</v>
      </c>
      <c r="G405" s="8"/>
      <c r="H405" s="8"/>
      <c r="I405" s="7">
        <v>693.9</v>
      </c>
      <c r="J405" s="14"/>
      <c r="K405" s="277"/>
      <c r="L405" s="99"/>
    </row>
    <row r="406" spans="1:16" ht="13.5" customHeight="1" x14ac:dyDescent="0.25">
      <c r="A406" s="276"/>
      <c r="B406" s="240"/>
      <c r="C406" s="242"/>
      <c r="D406" s="277"/>
      <c r="E406" s="212">
        <v>2018</v>
      </c>
      <c r="F406" s="7">
        <f t="shared" si="68"/>
        <v>200</v>
      </c>
      <c r="G406" s="8"/>
      <c r="H406" s="8"/>
      <c r="I406" s="7">
        <v>200</v>
      </c>
      <c r="J406" s="14"/>
      <c r="K406" s="277"/>
      <c r="L406" s="99"/>
    </row>
    <row r="407" spans="1:16" ht="13.5" customHeight="1" x14ac:dyDescent="0.25">
      <c r="A407" s="276"/>
      <c r="B407" s="240"/>
      <c r="C407" s="242"/>
      <c r="D407" s="277"/>
      <c r="E407" s="212">
        <v>2019</v>
      </c>
      <c r="F407" s="7">
        <f t="shared" si="68"/>
        <v>200</v>
      </c>
      <c r="G407" s="8"/>
      <c r="H407" s="8"/>
      <c r="I407" s="7">
        <v>200</v>
      </c>
      <c r="J407" s="14"/>
      <c r="K407" s="277"/>
      <c r="L407" s="99"/>
    </row>
    <row r="408" spans="1:16" ht="12.75" customHeight="1" x14ac:dyDescent="0.25">
      <c r="A408" s="276"/>
      <c r="B408" s="240"/>
      <c r="C408" s="242"/>
      <c r="D408" s="277"/>
      <c r="E408" s="212">
        <v>2020</v>
      </c>
      <c r="F408" s="7">
        <f t="shared" si="68"/>
        <v>200</v>
      </c>
      <c r="G408" s="8"/>
      <c r="H408" s="8"/>
      <c r="I408" s="7">
        <v>200</v>
      </c>
      <c r="J408" s="14"/>
      <c r="K408" s="277"/>
    </row>
    <row r="409" spans="1:16" ht="12.75" customHeight="1" x14ac:dyDescent="0.25">
      <c r="A409" s="276"/>
      <c r="B409" s="240"/>
      <c r="C409" s="242"/>
      <c r="D409" s="277"/>
      <c r="E409" s="224">
        <v>2021</v>
      </c>
      <c r="F409" s="7">
        <f t="shared" ref="F409" si="69">G409+H409+I409</f>
        <v>0</v>
      </c>
      <c r="G409" s="8"/>
      <c r="H409" s="8"/>
      <c r="I409" s="7">
        <v>0</v>
      </c>
      <c r="J409" s="14"/>
      <c r="K409" s="277"/>
    </row>
    <row r="410" spans="1:16" ht="18" customHeight="1" x14ac:dyDescent="0.2">
      <c r="A410" s="276"/>
      <c r="B410" s="240"/>
      <c r="C410" s="242"/>
      <c r="D410" s="277"/>
      <c r="E410" s="18" t="s">
        <v>18</v>
      </c>
      <c r="F410" s="8">
        <f>SUM(F404:F409)</f>
        <v>1335.9</v>
      </c>
      <c r="G410" s="8"/>
      <c r="H410" s="8">
        <v>0</v>
      </c>
      <c r="I410" s="8">
        <f>SUM(I404:I409)</f>
        <v>1335.9</v>
      </c>
      <c r="J410" s="14"/>
      <c r="K410" s="277"/>
      <c r="P410" s="99"/>
    </row>
    <row r="411" spans="1:16" ht="13.5" customHeight="1" x14ac:dyDescent="0.25">
      <c r="A411" s="272" t="s">
        <v>282</v>
      </c>
      <c r="B411" s="251" t="s">
        <v>258</v>
      </c>
      <c r="C411" s="234" t="s">
        <v>411</v>
      </c>
      <c r="D411" s="236" t="s">
        <v>209</v>
      </c>
      <c r="E411" s="212">
        <v>2017</v>
      </c>
      <c r="F411" s="10">
        <f>G411+H411+I411</f>
        <v>1046.7</v>
      </c>
      <c r="G411" s="9"/>
      <c r="H411" s="10">
        <f>1906.7-860</f>
        <v>1046.7</v>
      </c>
      <c r="I411" s="10"/>
      <c r="J411" s="22"/>
      <c r="K411" s="236" t="s">
        <v>260</v>
      </c>
      <c r="L411" s="99"/>
    </row>
    <row r="412" spans="1:16" ht="13.5" customHeight="1" x14ac:dyDescent="0.25">
      <c r="A412" s="273"/>
      <c r="B412" s="252"/>
      <c r="C412" s="250"/>
      <c r="D412" s="244"/>
      <c r="E412" s="212">
        <v>2018</v>
      </c>
      <c r="F412" s="10">
        <f t="shared" ref="F412:F414" si="70">G412+H412+I412</f>
        <v>1772.6</v>
      </c>
      <c r="G412" s="9"/>
      <c r="H412" s="10">
        <f>2127.6-355</f>
        <v>1772.6</v>
      </c>
      <c r="I412" s="10"/>
      <c r="J412" s="22"/>
      <c r="K412" s="244"/>
      <c r="L412" s="99"/>
    </row>
    <row r="413" spans="1:16" ht="13.5" customHeight="1" x14ac:dyDescent="0.25">
      <c r="A413" s="273"/>
      <c r="B413" s="252"/>
      <c r="C413" s="250"/>
      <c r="D413" s="244"/>
      <c r="E413" s="212">
        <v>2019</v>
      </c>
      <c r="F413" s="10">
        <f t="shared" si="70"/>
        <v>1837.8</v>
      </c>
      <c r="G413" s="9"/>
      <c r="H413" s="10">
        <f>1890.8-53</f>
        <v>1837.8</v>
      </c>
      <c r="I413" s="10"/>
      <c r="J413" s="22"/>
      <c r="K413" s="244"/>
      <c r="L413" s="99"/>
    </row>
    <row r="414" spans="1:16" ht="13.5" customHeight="1" x14ac:dyDescent="0.25">
      <c r="A414" s="273"/>
      <c r="B414" s="252"/>
      <c r="C414" s="250"/>
      <c r="D414" s="244"/>
      <c r="E414" s="212">
        <v>2020</v>
      </c>
      <c r="F414" s="10">
        <f t="shared" si="70"/>
        <v>1899.8</v>
      </c>
      <c r="G414" s="9"/>
      <c r="H414" s="10">
        <v>1899.8</v>
      </c>
      <c r="I414" s="9"/>
      <c r="J414" s="22"/>
      <c r="K414" s="244"/>
      <c r="L414" s="99"/>
    </row>
    <row r="415" spans="1:16" ht="13.5" customHeight="1" x14ac:dyDescent="0.25">
      <c r="A415" s="273"/>
      <c r="B415" s="252"/>
      <c r="C415" s="250"/>
      <c r="D415" s="244"/>
      <c r="E415" s="224">
        <v>2021</v>
      </c>
      <c r="F415" s="10">
        <f>G415+H415+I415</f>
        <v>1909.1</v>
      </c>
      <c r="G415" s="9"/>
      <c r="H415" s="10">
        <v>1909.1</v>
      </c>
      <c r="I415" s="10"/>
      <c r="J415" s="22"/>
      <c r="K415" s="244"/>
      <c r="L415" s="99"/>
    </row>
    <row r="416" spans="1:16" ht="13.5" customHeight="1" x14ac:dyDescent="0.25">
      <c r="A416" s="273"/>
      <c r="B416" s="252"/>
      <c r="C416" s="250"/>
      <c r="D416" s="244"/>
      <c r="E416" s="224">
        <v>2022</v>
      </c>
      <c r="F416" s="10">
        <f t="shared" ref="F416:F418" si="71">G416+H416+I416</f>
        <v>2000</v>
      </c>
      <c r="G416" s="9"/>
      <c r="H416" s="10">
        <v>2000</v>
      </c>
      <c r="I416" s="10"/>
      <c r="J416" s="22"/>
      <c r="K416" s="244"/>
      <c r="L416" s="99"/>
    </row>
    <row r="417" spans="1:32" ht="13.5" customHeight="1" x14ac:dyDescent="0.25">
      <c r="A417" s="273"/>
      <c r="B417" s="252"/>
      <c r="C417" s="250"/>
      <c r="D417" s="244"/>
      <c r="E417" s="224">
        <v>2023</v>
      </c>
      <c r="F417" s="10">
        <f t="shared" si="71"/>
        <v>2092</v>
      </c>
      <c r="G417" s="9"/>
      <c r="H417" s="10">
        <v>2092</v>
      </c>
      <c r="I417" s="10"/>
      <c r="J417" s="22"/>
      <c r="K417" s="244"/>
      <c r="L417" s="99"/>
    </row>
    <row r="418" spans="1:32" ht="13.5" customHeight="1" x14ac:dyDescent="0.25">
      <c r="A418" s="273"/>
      <c r="B418" s="252"/>
      <c r="C418" s="250"/>
      <c r="D418" s="244"/>
      <c r="E418" s="224">
        <v>2024</v>
      </c>
      <c r="F418" s="10">
        <f t="shared" si="71"/>
        <v>2188.1999999999998</v>
      </c>
      <c r="G418" s="9"/>
      <c r="H418" s="10">
        <v>2188.1999999999998</v>
      </c>
      <c r="I418" s="9"/>
      <c r="J418" s="22"/>
      <c r="K418" s="244"/>
      <c r="L418" s="99"/>
    </row>
    <row r="419" spans="1:32" ht="13.5" customHeight="1" x14ac:dyDescent="0.25">
      <c r="A419" s="273"/>
      <c r="B419" s="252"/>
      <c r="C419" s="250"/>
      <c r="D419" s="244"/>
      <c r="E419" s="224">
        <v>2025</v>
      </c>
      <c r="F419" s="10">
        <f t="shared" ref="F419" si="72">G419+H419+I419</f>
        <v>2288.9</v>
      </c>
      <c r="G419" s="9"/>
      <c r="H419" s="10">
        <v>2288.9</v>
      </c>
      <c r="I419" s="9"/>
      <c r="J419" s="22"/>
      <c r="K419" s="244"/>
      <c r="L419" s="99"/>
    </row>
    <row r="420" spans="1:32" ht="64.5" customHeight="1" x14ac:dyDescent="0.2">
      <c r="A420" s="273"/>
      <c r="B420" s="253"/>
      <c r="C420" s="250"/>
      <c r="D420" s="244"/>
      <c r="E420" s="26" t="s">
        <v>18</v>
      </c>
      <c r="F420" s="9">
        <f>SUM(F411:F419)</f>
        <v>17035.100000000002</v>
      </c>
      <c r="G420" s="9"/>
      <c r="H420" s="9">
        <f>SUM(H411:H419)</f>
        <v>17035.100000000002</v>
      </c>
      <c r="I420" s="9">
        <f>SUM(I411:I414)</f>
        <v>0</v>
      </c>
      <c r="J420" s="22"/>
      <c r="K420" s="244"/>
    </row>
    <row r="421" spans="1:32" ht="13.5" customHeight="1" x14ac:dyDescent="0.25">
      <c r="A421" s="272" t="s">
        <v>300</v>
      </c>
      <c r="B421" s="251" t="s">
        <v>298</v>
      </c>
      <c r="C421" s="234" t="s">
        <v>411</v>
      </c>
      <c r="D421" s="236" t="s">
        <v>209</v>
      </c>
      <c r="E421" s="212">
        <v>2017</v>
      </c>
      <c r="F421" s="10">
        <f>G421+H421+I421</f>
        <v>163</v>
      </c>
      <c r="G421" s="9"/>
      <c r="H421" s="10"/>
      <c r="I421" s="10">
        <v>163</v>
      </c>
      <c r="J421" s="22"/>
      <c r="K421" s="504" t="s">
        <v>381</v>
      </c>
      <c r="L421" s="99"/>
    </row>
    <row r="422" spans="1:32" ht="13.5" customHeight="1" x14ac:dyDescent="0.25">
      <c r="A422" s="273"/>
      <c r="B422" s="252"/>
      <c r="C422" s="250"/>
      <c r="D422" s="244"/>
      <c r="E422" s="212">
        <v>2018</v>
      </c>
      <c r="F422" s="10">
        <f t="shared" ref="F422:F424" si="73">G422+H422+I422</f>
        <v>245</v>
      </c>
      <c r="G422" s="9"/>
      <c r="H422" s="9"/>
      <c r="I422" s="10">
        <f>220+25</f>
        <v>245</v>
      </c>
      <c r="J422" s="22"/>
      <c r="K422" s="512"/>
      <c r="L422" s="99" t="s">
        <v>346</v>
      </c>
    </row>
    <row r="423" spans="1:32" ht="13.5" customHeight="1" x14ac:dyDescent="0.25">
      <c r="A423" s="273"/>
      <c r="B423" s="252"/>
      <c r="C423" s="250"/>
      <c r="D423" s="244"/>
      <c r="E423" s="212">
        <v>2019</v>
      </c>
      <c r="F423" s="10">
        <f t="shared" si="73"/>
        <v>350</v>
      </c>
      <c r="G423" s="9"/>
      <c r="H423" s="9"/>
      <c r="I423" s="10">
        <v>350</v>
      </c>
      <c r="J423" s="22"/>
      <c r="K423" s="512"/>
      <c r="L423" s="99"/>
    </row>
    <row r="424" spans="1:32" ht="13.5" customHeight="1" x14ac:dyDescent="0.25">
      <c r="A424" s="273"/>
      <c r="B424" s="252"/>
      <c r="C424" s="250"/>
      <c r="D424" s="244"/>
      <c r="E424" s="212">
        <v>2020</v>
      </c>
      <c r="F424" s="10">
        <f t="shared" si="73"/>
        <v>0</v>
      </c>
      <c r="G424" s="9"/>
      <c r="H424" s="9"/>
      <c r="I424" s="10">
        <v>0</v>
      </c>
      <c r="J424" s="22"/>
      <c r="K424" s="512"/>
      <c r="L424" s="99"/>
    </row>
    <row r="425" spans="1:32" ht="13.5" customHeight="1" x14ac:dyDescent="0.25">
      <c r="A425" s="273"/>
      <c r="B425" s="252"/>
      <c r="C425" s="250"/>
      <c r="D425" s="244"/>
      <c r="E425" s="224">
        <v>2021</v>
      </c>
      <c r="F425" s="10">
        <f>G425+H425+I425</f>
        <v>0</v>
      </c>
      <c r="G425" s="9"/>
      <c r="H425" s="10"/>
      <c r="I425" s="10">
        <v>0</v>
      </c>
      <c r="J425" s="22"/>
      <c r="K425" s="512"/>
      <c r="L425" s="99"/>
    </row>
    <row r="426" spans="1:32" ht="13.5" customHeight="1" x14ac:dyDescent="0.25">
      <c r="A426" s="273"/>
      <c r="B426" s="252"/>
      <c r="C426" s="250"/>
      <c r="D426" s="244"/>
      <c r="E426" s="224">
        <v>2022</v>
      </c>
      <c r="F426" s="10">
        <f t="shared" ref="F426:F428" si="74">G426+H426+I426</f>
        <v>0</v>
      </c>
      <c r="G426" s="9"/>
      <c r="H426" s="9"/>
      <c r="I426" s="10">
        <v>0</v>
      </c>
      <c r="J426" s="22"/>
      <c r="K426" s="512"/>
      <c r="L426" s="99" t="s">
        <v>346</v>
      </c>
    </row>
    <row r="427" spans="1:32" ht="13.5" customHeight="1" x14ac:dyDescent="0.25">
      <c r="A427" s="273"/>
      <c r="B427" s="252"/>
      <c r="C427" s="250"/>
      <c r="D427" s="244"/>
      <c r="E427" s="224">
        <v>2023</v>
      </c>
      <c r="F427" s="10">
        <f t="shared" si="74"/>
        <v>0</v>
      </c>
      <c r="G427" s="9"/>
      <c r="H427" s="9"/>
      <c r="I427" s="10">
        <v>0</v>
      </c>
      <c r="J427" s="22"/>
      <c r="K427" s="512"/>
      <c r="L427" s="99"/>
    </row>
    <row r="428" spans="1:32" ht="13.5" customHeight="1" x14ac:dyDescent="0.25">
      <c r="A428" s="273"/>
      <c r="B428" s="252"/>
      <c r="C428" s="250"/>
      <c r="D428" s="244"/>
      <c r="E428" s="224">
        <v>2024</v>
      </c>
      <c r="F428" s="10">
        <f t="shared" si="74"/>
        <v>0</v>
      </c>
      <c r="G428" s="9"/>
      <c r="H428" s="9"/>
      <c r="I428" s="10">
        <v>0</v>
      </c>
      <c r="J428" s="22"/>
      <c r="K428" s="512"/>
      <c r="L428" s="99"/>
    </row>
    <row r="429" spans="1:32" ht="13.5" customHeight="1" x14ac:dyDescent="0.25">
      <c r="A429" s="273"/>
      <c r="B429" s="252"/>
      <c r="C429" s="250"/>
      <c r="D429" s="244"/>
      <c r="E429" s="224">
        <v>2025</v>
      </c>
      <c r="F429" s="10">
        <f t="shared" ref="F429" si="75">G429+H429+I429</f>
        <v>0</v>
      </c>
      <c r="G429" s="9"/>
      <c r="H429" s="9"/>
      <c r="I429" s="10">
        <v>0</v>
      </c>
      <c r="J429" s="22"/>
      <c r="K429" s="512"/>
      <c r="L429" s="99"/>
    </row>
    <row r="430" spans="1:32" ht="19.5" customHeight="1" thickBot="1" x14ac:dyDescent="0.25">
      <c r="A430" s="273"/>
      <c r="B430" s="253"/>
      <c r="C430" s="250"/>
      <c r="D430" s="244"/>
      <c r="E430" s="26" t="s">
        <v>18</v>
      </c>
      <c r="F430" s="9">
        <f>SUM(F421:F429)</f>
        <v>758</v>
      </c>
      <c r="G430" s="9"/>
      <c r="H430" s="9">
        <f t="shared" ref="H430" si="76">SUM(H421:H424)</f>
        <v>0</v>
      </c>
      <c r="I430" s="9">
        <f>SUM(I421:I429)</f>
        <v>758</v>
      </c>
      <c r="J430" s="22"/>
      <c r="K430" s="512"/>
    </row>
    <row r="431" spans="1:32" ht="15.75" thickBot="1" x14ac:dyDescent="0.3">
      <c r="A431" s="327" t="s">
        <v>177</v>
      </c>
      <c r="B431" s="328"/>
      <c r="C431" s="328"/>
      <c r="D431" s="328"/>
      <c r="E431" s="49"/>
      <c r="F431" s="150">
        <f>F391+F384+F372+F403+F410+F420+F430</f>
        <v>534573.9</v>
      </c>
      <c r="G431" s="148"/>
      <c r="H431" s="149">
        <f>H391+H384+H372+H403+H410+H420+H430</f>
        <v>494126.49999999994</v>
      </c>
      <c r="I431" s="149">
        <f>I391+I384+I372+I403+I410+I420+I430</f>
        <v>40447.400000000009</v>
      </c>
      <c r="J431" s="102"/>
      <c r="K431" s="103"/>
      <c r="M431" s="126"/>
      <c r="N431" s="127"/>
    </row>
    <row r="432" spans="1:32" ht="16.5" thickBot="1" x14ac:dyDescent="0.3">
      <c r="A432" s="254" t="s">
        <v>182</v>
      </c>
      <c r="B432" s="255"/>
      <c r="C432" s="255"/>
      <c r="D432" s="255"/>
      <c r="E432" s="255"/>
      <c r="F432" s="100"/>
      <c r="G432" s="100"/>
      <c r="H432" s="100"/>
      <c r="I432" s="101"/>
      <c r="J432" s="101"/>
      <c r="K432" s="101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  <c r="AC432" s="52"/>
      <c r="AD432" s="52"/>
      <c r="AE432" s="52"/>
      <c r="AF432" s="53"/>
    </row>
    <row r="433" spans="1:12" ht="15" x14ac:dyDescent="0.25">
      <c r="A433" s="256" t="s">
        <v>283</v>
      </c>
      <c r="B433" s="258" t="s">
        <v>120</v>
      </c>
      <c r="C433" s="234" t="s">
        <v>410</v>
      </c>
      <c r="D433" s="236" t="s">
        <v>209</v>
      </c>
      <c r="E433" s="212">
        <v>2015</v>
      </c>
      <c r="F433" s="7">
        <f t="shared" ref="F433:F438" si="77">SUM(G433:I433)</f>
        <v>175</v>
      </c>
      <c r="G433" s="7"/>
      <c r="H433" s="7"/>
      <c r="I433" s="7">
        <v>175</v>
      </c>
      <c r="J433" s="14"/>
      <c r="K433" s="236" t="s">
        <v>145</v>
      </c>
    </row>
    <row r="434" spans="1:12" ht="15" x14ac:dyDescent="0.25">
      <c r="A434" s="257"/>
      <c r="B434" s="259"/>
      <c r="C434" s="238"/>
      <c r="D434" s="244"/>
      <c r="E434" s="212">
        <v>2016</v>
      </c>
      <c r="F434" s="7">
        <f t="shared" si="77"/>
        <v>195</v>
      </c>
      <c r="G434" s="7"/>
      <c r="H434" s="7"/>
      <c r="I434" s="7">
        <f>185+10</f>
        <v>195</v>
      </c>
      <c r="J434" s="14"/>
      <c r="K434" s="244"/>
    </row>
    <row r="435" spans="1:12" ht="15" x14ac:dyDescent="0.25">
      <c r="A435" s="257"/>
      <c r="B435" s="259"/>
      <c r="C435" s="238"/>
      <c r="D435" s="244"/>
      <c r="E435" s="212">
        <v>2017</v>
      </c>
      <c r="F435" s="7">
        <f t="shared" si="77"/>
        <v>151.5</v>
      </c>
      <c r="G435" s="7"/>
      <c r="H435" s="7"/>
      <c r="I435" s="7">
        <v>151.5</v>
      </c>
      <c r="J435" s="14"/>
      <c r="K435" s="244"/>
      <c r="L435" s="99"/>
    </row>
    <row r="436" spans="1:12" ht="15" x14ac:dyDescent="0.25">
      <c r="A436" s="257"/>
      <c r="B436" s="259"/>
      <c r="C436" s="238"/>
      <c r="D436" s="244"/>
      <c r="E436" s="212">
        <v>2018</v>
      </c>
      <c r="F436" s="7">
        <f t="shared" si="77"/>
        <v>223.2</v>
      </c>
      <c r="G436" s="7"/>
      <c r="H436" s="7"/>
      <c r="I436" s="7">
        <f>205+18.2</f>
        <v>223.2</v>
      </c>
      <c r="J436" s="14"/>
      <c r="K436" s="244"/>
      <c r="L436" s="99"/>
    </row>
    <row r="437" spans="1:12" ht="15" x14ac:dyDescent="0.25">
      <c r="A437" s="257"/>
      <c r="B437" s="259"/>
      <c r="C437" s="238"/>
      <c r="D437" s="244"/>
      <c r="E437" s="212">
        <v>2019</v>
      </c>
      <c r="F437" s="7">
        <f t="shared" si="77"/>
        <v>215</v>
      </c>
      <c r="G437" s="7"/>
      <c r="H437" s="7"/>
      <c r="I437" s="7">
        <v>215</v>
      </c>
      <c r="J437" s="14"/>
      <c r="K437" s="244"/>
      <c r="L437" s="99"/>
    </row>
    <row r="438" spans="1:12" ht="15" x14ac:dyDescent="0.25">
      <c r="A438" s="257"/>
      <c r="B438" s="259"/>
      <c r="C438" s="238"/>
      <c r="D438" s="244"/>
      <c r="E438" s="212">
        <v>2020</v>
      </c>
      <c r="F438" s="7">
        <f t="shared" si="77"/>
        <v>100</v>
      </c>
      <c r="G438" s="7"/>
      <c r="H438" s="7"/>
      <c r="I438" s="7">
        <v>100</v>
      </c>
      <c r="J438" s="14"/>
      <c r="K438" s="244"/>
    </row>
    <row r="439" spans="1:12" ht="15" x14ac:dyDescent="0.25">
      <c r="A439" s="257"/>
      <c r="B439" s="259"/>
      <c r="C439" s="238"/>
      <c r="D439" s="244"/>
      <c r="E439" s="224">
        <v>2021</v>
      </c>
      <c r="F439" s="7">
        <f t="shared" ref="F439:F443" si="78">SUM(G439:I439)</f>
        <v>50</v>
      </c>
      <c r="G439" s="7"/>
      <c r="H439" s="7"/>
      <c r="I439" s="7">
        <v>50</v>
      </c>
      <c r="J439" s="14"/>
      <c r="K439" s="244"/>
    </row>
    <row r="440" spans="1:12" ht="15" x14ac:dyDescent="0.25">
      <c r="A440" s="257"/>
      <c r="B440" s="259"/>
      <c r="C440" s="238"/>
      <c r="D440" s="244"/>
      <c r="E440" s="224">
        <v>2022</v>
      </c>
      <c r="F440" s="7">
        <f t="shared" si="78"/>
        <v>50</v>
      </c>
      <c r="G440" s="7"/>
      <c r="H440" s="7"/>
      <c r="I440" s="7">
        <v>50</v>
      </c>
      <c r="J440" s="14"/>
      <c r="K440" s="244"/>
      <c r="L440" s="99"/>
    </row>
    <row r="441" spans="1:12" ht="15" x14ac:dyDescent="0.25">
      <c r="A441" s="257"/>
      <c r="B441" s="259"/>
      <c r="C441" s="238"/>
      <c r="D441" s="244"/>
      <c r="E441" s="224">
        <v>2023</v>
      </c>
      <c r="F441" s="7">
        <f t="shared" si="78"/>
        <v>52</v>
      </c>
      <c r="G441" s="7"/>
      <c r="H441" s="7"/>
      <c r="I441" s="7">
        <v>52</v>
      </c>
      <c r="J441" s="14"/>
      <c r="K441" s="244"/>
      <c r="L441" s="99"/>
    </row>
    <row r="442" spans="1:12" ht="15" x14ac:dyDescent="0.25">
      <c r="A442" s="257"/>
      <c r="B442" s="259"/>
      <c r="C442" s="238"/>
      <c r="D442" s="244"/>
      <c r="E442" s="224">
        <v>2024</v>
      </c>
      <c r="F442" s="7">
        <f t="shared" si="78"/>
        <v>55</v>
      </c>
      <c r="G442" s="7"/>
      <c r="H442" s="7"/>
      <c r="I442" s="7">
        <v>55</v>
      </c>
      <c r="J442" s="14"/>
      <c r="K442" s="244"/>
      <c r="L442" s="99"/>
    </row>
    <row r="443" spans="1:12" ht="15" x14ac:dyDescent="0.25">
      <c r="A443" s="257"/>
      <c r="B443" s="259"/>
      <c r="C443" s="238"/>
      <c r="D443" s="244"/>
      <c r="E443" s="224">
        <v>2025</v>
      </c>
      <c r="F443" s="7">
        <f t="shared" si="78"/>
        <v>57</v>
      </c>
      <c r="G443" s="7"/>
      <c r="H443" s="7"/>
      <c r="I443" s="7">
        <v>57</v>
      </c>
      <c r="J443" s="14"/>
      <c r="K443" s="244"/>
    </row>
    <row r="444" spans="1:12" ht="58.5" customHeight="1" x14ac:dyDescent="0.2">
      <c r="A444" s="257"/>
      <c r="B444" s="259"/>
      <c r="C444" s="238"/>
      <c r="D444" s="244"/>
      <c r="E444" s="26" t="s">
        <v>18</v>
      </c>
      <c r="F444" s="9">
        <f>SUM(F433:F443)</f>
        <v>1323.7</v>
      </c>
      <c r="G444" s="9"/>
      <c r="H444" s="9"/>
      <c r="I444" s="9">
        <f>SUM(I433:I443)</f>
        <v>1323.7</v>
      </c>
      <c r="J444" s="22"/>
      <c r="K444" s="237"/>
    </row>
    <row r="445" spans="1:12" ht="15" x14ac:dyDescent="0.25">
      <c r="A445" s="274" t="s">
        <v>284</v>
      </c>
      <c r="B445" s="258" t="s">
        <v>80</v>
      </c>
      <c r="C445" s="242" t="s">
        <v>410</v>
      </c>
      <c r="D445" s="236" t="s">
        <v>209</v>
      </c>
      <c r="E445" s="212">
        <v>2017</v>
      </c>
      <c r="F445" s="7">
        <f t="shared" ref="F445:F448" si="79">SUM(G445:I445)</f>
        <v>200</v>
      </c>
      <c r="G445" s="7"/>
      <c r="H445" s="7"/>
      <c r="I445" s="7">
        <v>200</v>
      </c>
      <c r="J445" s="14"/>
      <c r="K445" s="236" t="s">
        <v>161</v>
      </c>
      <c r="L445" s="99"/>
    </row>
    <row r="446" spans="1:12" ht="15" x14ac:dyDescent="0.25">
      <c r="A446" s="275"/>
      <c r="B446" s="259"/>
      <c r="C446" s="243"/>
      <c r="D446" s="244"/>
      <c r="E446" s="212">
        <v>2018</v>
      </c>
      <c r="F446" s="7">
        <f t="shared" si="79"/>
        <v>240</v>
      </c>
      <c r="G446" s="7"/>
      <c r="H446" s="7"/>
      <c r="I446" s="7">
        <v>240</v>
      </c>
      <c r="J446" s="14"/>
      <c r="K446" s="244"/>
    </row>
    <row r="447" spans="1:12" ht="15" x14ac:dyDescent="0.25">
      <c r="A447" s="275"/>
      <c r="B447" s="259"/>
      <c r="C447" s="243"/>
      <c r="D447" s="244"/>
      <c r="E447" s="212">
        <v>2019</v>
      </c>
      <c r="F447" s="7">
        <f t="shared" si="79"/>
        <v>220</v>
      </c>
      <c r="G447" s="7"/>
      <c r="H447" s="7"/>
      <c r="I447" s="7">
        <v>220</v>
      </c>
      <c r="J447" s="14"/>
      <c r="K447" s="244"/>
      <c r="L447" s="99"/>
    </row>
    <row r="448" spans="1:12" ht="15" x14ac:dyDescent="0.25">
      <c r="A448" s="275"/>
      <c r="B448" s="259"/>
      <c r="C448" s="243"/>
      <c r="D448" s="244"/>
      <c r="E448" s="212">
        <v>2020</v>
      </c>
      <c r="F448" s="7">
        <f t="shared" si="79"/>
        <v>100</v>
      </c>
      <c r="G448" s="7"/>
      <c r="H448" s="7"/>
      <c r="I448" s="7">
        <v>100</v>
      </c>
      <c r="J448" s="14"/>
      <c r="K448" s="244"/>
      <c r="L448" s="99"/>
    </row>
    <row r="449" spans="1:32" ht="15" x14ac:dyDescent="0.25">
      <c r="A449" s="275"/>
      <c r="B449" s="259"/>
      <c r="C449" s="243"/>
      <c r="D449" s="244"/>
      <c r="E449" s="224">
        <v>2021</v>
      </c>
      <c r="F449" s="7">
        <f t="shared" ref="F449:F452" si="80">SUM(G449:I449)</f>
        <v>50</v>
      </c>
      <c r="G449" s="7"/>
      <c r="H449" s="7"/>
      <c r="I449" s="7">
        <v>50</v>
      </c>
      <c r="J449" s="14"/>
      <c r="K449" s="244"/>
      <c r="L449" s="99"/>
    </row>
    <row r="450" spans="1:32" ht="15" x14ac:dyDescent="0.25">
      <c r="A450" s="275"/>
      <c r="B450" s="259"/>
      <c r="C450" s="243"/>
      <c r="D450" s="244"/>
      <c r="E450" s="224">
        <v>2022</v>
      </c>
      <c r="F450" s="7">
        <f t="shared" si="80"/>
        <v>50</v>
      </c>
      <c r="G450" s="7"/>
      <c r="H450" s="7"/>
      <c r="I450" s="7">
        <v>50</v>
      </c>
      <c r="J450" s="14"/>
      <c r="K450" s="244"/>
    </row>
    <row r="451" spans="1:32" ht="15" x14ac:dyDescent="0.25">
      <c r="A451" s="275"/>
      <c r="B451" s="259"/>
      <c r="C451" s="243"/>
      <c r="D451" s="244"/>
      <c r="E451" s="224">
        <v>2023</v>
      </c>
      <c r="F451" s="7">
        <f t="shared" si="80"/>
        <v>52</v>
      </c>
      <c r="G451" s="7"/>
      <c r="H451" s="7"/>
      <c r="I451" s="7">
        <v>52</v>
      </c>
      <c r="J451" s="14"/>
      <c r="K451" s="244"/>
      <c r="L451" s="99"/>
    </row>
    <row r="452" spans="1:32" ht="15" x14ac:dyDescent="0.25">
      <c r="A452" s="275"/>
      <c r="B452" s="259"/>
      <c r="C452" s="243"/>
      <c r="D452" s="244"/>
      <c r="E452" s="224">
        <v>2024</v>
      </c>
      <c r="F452" s="7">
        <f t="shared" si="80"/>
        <v>55</v>
      </c>
      <c r="G452" s="7"/>
      <c r="H452" s="7"/>
      <c r="I452" s="7">
        <v>55</v>
      </c>
      <c r="J452" s="14"/>
      <c r="K452" s="244"/>
      <c r="L452" s="99"/>
    </row>
    <row r="453" spans="1:32" ht="15" x14ac:dyDescent="0.25">
      <c r="A453" s="275"/>
      <c r="B453" s="259"/>
      <c r="C453" s="243"/>
      <c r="D453" s="244"/>
      <c r="E453" s="224">
        <v>2025</v>
      </c>
      <c r="F453" s="7">
        <f t="shared" ref="F453" si="81">SUM(G453:I453)</f>
        <v>57</v>
      </c>
      <c r="G453" s="7"/>
      <c r="H453" s="7"/>
      <c r="I453" s="7">
        <v>57</v>
      </c>
      <c r="J453" s="14"/>
      <c r="K453" s="244"/>
      <c r="L453" s="99"/>
    </row>
    <row r="454" spans="1:32" ht="58.5" customHeight="1" thickBot="1" x14ac:dyDescent="0.25">
      <c r="A454" s="275"/>
      <c r="B454" s="259"/>
      <c r="C454" s="243"/>
      <c r="D454" s="244"/>
      <c r="E454" s="26" t="s">
        <v>18</v>
      </c>
      <c r="F454" s="9">
        <f>SUM(F445:F453)</f>
        <v>1024</v>
      </c>
      <c r="G454" s="9"/>
      <c r="H454" s="9"/>
      <c r="I454" s="9">
        <f>SUM(I445:I453)</f>
        <v>1024</v>
      </c>
      <c r="J454" s="22"/>
      <c r="K454" s="237"/>
    </row>
    <row r="455" spans="1:32" ht="15.75" thickBot="1" x14ac:dyDescent="0.3">
      <c r="A455" s="541" t="s">
        <v>189</v>
      </c>
      <c r="B455" s="328"/>
      <c r="C455" s="542"/>
      <c r="D455" s="328"/>
      <c r="E455" s="54"/>
      <c r="F455" s="140">
        <f>F454+F444</f>
        <v>2347.6999999999998</v>
      </c>
      <c r="G455" s="151"/>
      <c r="H455" s="140">
        <f>H454+H444</f>
        <v>0</v>
      </c>
      <c r="I455" s="140">
        <f>I454+I444</f>
        <v>2347.6999999999998</v>
      </c>
      <c r="J455" s="50"/>
      <c r="K455" s="51"/>
      <c r="L455" s="126"/>
      <c r="M455" s="127"/>
    </row>
    <row r="456" spans="1:32" ht="16.5" thickBot="1" x14ac:dyDescent="0.25">
      <c r="A456" s="261" t="s">
        <v>183</v>
      </c>
      <c r="B456" s="262"/>
      <c r="C456" s="262"/>
      <c r="D456" s="262"/>
      <c r="E456" s="262"/>
      <c r="F456" s="262"/>
      <c r="G456" s="262"/>
      <c r="H456" s="262"/>
      <c r="I456" s="262"/>
      <c r="J456" s="262"/>
      <c r="K456" s="263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  <c r="W456" s="55"/>
      <c r="X456" s="55"/>
      <c r="Y456" s="55"/>
      <c r="Z456" s="55"/>
      <c r="AA456" s="55"/>
      <c r="AB456" s="55"/>
      <c r="AC456" s="55"/>
      <c r="AD456" s="55"/>
      <c r="AE456" s="55"/>
      <c r="AF456" s="56"/>
    </row>
    <row r="457" spans="1:32" ht="15" x14ac:dyDescent="0.25">
      <c r="A457" s="265" t="s">
        <v>146</v>
      </c>
      <c r="B457" s="253" t="s">
        <v>295</v>
      </c>
      <c r="C457" s="250" t="s">
        <v>68</v>
      </c>
      <c r="D457" s="244" t="s">
        <v>209</v>
      </c>
      <c r="E457" s="213">
        <v>2015</v>
      </c>
      <c r="F457" s="143">
        <f t="shared" ref="F457:F462" si="82">SUM(G457:I457)</f>
        <v>275</v>
      </c>
      <c r="G457" s="143"/>
      <c r="H457" s="143"/>
      <c r="I457" s="143">
        <v>275</v>
      </c>
      <c r="J457" s="12"/>
      <c r="K457" s="244" t="s">
        <v>147</v>
      </c>
    </row>
    <row r="458" spans="1:32" ht="15" x14ac:dyDescent="0.25">
      <c r="A458" s="543"/>
      <c r="B458" s="240"/>
      <c r="C458" s="238"/>
      <c r="D458" s="244"/>
      <c r="E458" s="212">
        <v>2016</v>
      </c>
      <c r="F458" s="7">
        <f t="shared" si="82"/>
        <v>294.7</v>
      </c>
      <c r="G458" s="7"/>
      <c r="H458" s="7"/>
      <c r="I458" s="7">
        <f>295-0.3</f>
        <v>294.7</v>
      </c>
      <c r="J458" s="14"/>
      <c r="K458" s="244"/>
    </row>
    <row r="459" spans="1:32" ht="15" x14ac:dyDescent="0.25">
      <c r="A459" s="543"/>
      <c r="B459" s="240"/>
      <c r="C459" s="238"/>
      <c r="D459" s="244"/>
      <c r="E459" s="212">
        <v>2017</v>
      </c>
      <c r="F459" s="7">
        <f t="shared" si="82"/>
        <v>0</v>
      </c>
      <c r="G459" s="7"/>
      <c r="H459" s="7"/>
      <c r="I459" s="7">
        <f>240.5-240.5</f>
        <v>0</v>
      </c>
      <c r="J459" s="14"/>
      <c r="K459" s="244"/>
      <c r="L459" s="99" t="s">
        <v>366</v>
      </c>
      <c r="N459" s="99"/>
      <c r="O459" s="99"/>
    </row>
    <row r="460" spans="1:32" ht="15" x14ac:dyDescent="0.25">
      <c r="A460" s="543"/>
      <c r="B460" s="240"/>
      <c r="C460" s="238"/>
      <c r="D460" s="244"/>
      <c r="E460" s="212">
        <v>2018</v>
      </c>
      <c r="F460" s="7">
        <f t="shared" si="82"/>
        <v>0</v>
      </c>
      <c r="G460" s="7"/>
      <c r="H460" s="7"/>
      <c r="I460" s="7">
        <v>0</v>
      </c>
      <c r="J460" s="14"/>
      <c r="K460" s="244"/>
      <c r="L460" s="99"/>
      <c r="N460" s="99"/>
      <c r="O460" s="99"/>
    </row>
    <row r="461" spans="1:32" ht="15" x14ac:dyDescent="0.25">
      <c r="A461" s="543"/>
      <c r="B461" s="240"/>
      <c r="C461" s="238"/>
      <c r="D461" s="244"/>
      <c r="E461" s="212">
        <v>2019</v>
      </c>
      <c r="F461" s="7">
        <f t="shared" si="82"/>
        <v>0</v>
      </c>
      <c r="G461" s="7"/>
      <c r="H461" s="7"/>
      <c r="I461" s="7">
        <v>0</v>
      </c>
      <c r="J461" s="14"/>
      <c r="K461" s="244"/>
      <c r="L461" s="99"/>
    </row>
    <row r="462" spans="1:32" ht="15" x14ac:dyDescent="0.25">
      <c r="A462" s="543"/>
      <c r="B462" s="240"/>
      <c r="C462" s="238"/>
      <c r="D462" s="244"/>
      <c r="E462" s="212">
        <v>2020</v>
      </c>
      <c r="F462" s="7">
        <f t="shared" si="82"/>
        <v>0</v>
      </c>
      <c r="G462" s="7"/>
      <c r="H462" s="7"/>
      <c r="I462" s="7">
        <v>0</v>
      </c>
      <c r="J462" s="14"/>
      <c r="K462" s="244"/>
    </row>
    <row r="463" spans="1:32" ht="59.25" customHeight="1" thickBot="1" x14ac:dyDescent="0.25">
      <c r="A463" s="543"/>
      <c r="B463" s="251"/>
      <c r="C463" s="238"/>
      <c r="D463" s="244"/>
      <c r="E463" s="26" t="s">
        <v>18</v>
      </c>
      <c r="F463" s="9">
        <f>SUM(F457:F462)</f>
        <v>569.70000000000005</v>
      </c>
      <c r="G463" s="9"/>
      <c r="H463" s="9">
        <f>SUM(H457:H462)</f>
        <v>0</v>
      </c>
      <c r="I463" s="9">
        <f>SUM(I457:I462)</f>
        <v>569.70000000000005</v>
      </c>
      <c r="J463" s="22"/>
      <c r="K463" s="244"/>
      <c r="L463" s="126"/>
      <c r="M463" s="127"/>
    </row>
    <row r="464" spans="1:32" ht="15.75" thickBot="1" x14ac:dyDescent="0.3">
      <c r="A464" s="327" t="s">
        <v>191</v>
      </c>
      <c r="B464" s="328"/>
      <c r="C464" s="328"/>
      <c r="D464" s="328"/>
      <c r="E464" s="93"/>
      <c r="F464" s="149">
        <f>SUM(F463)</f>
        <v>569.70000000000005</v>
      </c>
      <c r="G464" s="148"/>
      <c r="H464" s="149">
        <f>SUM(H463)</f>
        <v>0</v>
      </c>
      <c r="I464" s="149">
        <f>SUM(I463)</f>
        <v>569.70000000000005</v>
      </c>
      <c r="J464" s="102"/>
      <c r="K464" s="103"/>
    </row>
    <row r="465" spans="1:32" ht="16.5" thickBot="1" x14ac:dyDescent="0.25">
      <c r="A465" s="261" t="s">
        <v>184</v>
      </c>
      <c r="B465" s="262"/>
      <c r="C465" s="262"/>
      <c r="D465" s="262"/>
      <c r="E465" s="262"/>
      <c r="F465" s="262"/>
      <c r="G465" s="262"/>
      <c r="H465" s="262"/>
      <c r="I465" s="262"/>
      <c r="J465" s="262"/>
      <c r="K465" s="263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5"/>
      <c r="Z465" s="55"/>
      <c r="AA465" s="55"/>
      <c r="AB465" s="55"/>
      <c r="AC465" s="55"/>
      <c r="AD465" s="55"/>
      <c r="AE465" s="55"/>
      <c r="AF465" s="56"/>
    </row>
    <row r="466" spans="1:32" ht="15" x14ac:dyDescent="0.25">
      <c r="A466" s="322" t="s">
        <v>148</v>
      </c>
      <c r="B466" s="457" t="s">
        <v>228</v>
      </c>
      <c r="C466" s="250" t="s">
        <v>410</v>
      </c>
      <c r="D466" s="244" t="s">
        <v>209</v>
      </c>
      <c r="E466" s="213">
        <v>2015</v>
      </c>
      <c r="F466" s="143">
        <f t="shared" ref="F466:F471" si="83">SUM(G466:J466)</f>
        <v>1715</v>
      </c>
      <c r="G466" s="143"/>
      <c r="H466" s="143">
        <v>1715</v>
      </c>
      <c r="I466" s="12"/>
      <c r="J466" s="12"/>
      <c r="K466" s="244" t="s">
        <v>149</v>
      </c>
    </row>
    <row r="467" spans="1:32" ht="15" x14ac:dyDescent="0.25">
      <c r="A467" s="323"/>
      <c r="B467" s="258"/>
      <c r="C467" s="238"/>
      <c r="D467" s="244"/>
      <c r="E467" s="212">
        <v>2016</v>
      </c>
      <c r="F467" s="7">
        <f t="shared" si="83"/>
        <v>931.30000000000018</v>
      </c>
      <c r="G467" s="7"/>
      <c r="H467" s="7">
        <f>2151.3-1220</f>
        <v>931.30000000000018</v>
      </c>
      <c r="I467" s="14"/>
      <c r="J467" s="14"/>
      <c r="K467" s="545"/>
      <c r="L467" s="99"/>
    </row>
    <row r="468" spans="1:32" ht="15" x14ac:dyDescent="0.25">
      <c r="A468" s="323"/>
      <c r="B468" s="258"/>
      <c r="C468" s="238"/>
      <c r="D468" s="244"/>
      <c r="E468" s="212">
        <v>2017</v>
      </c>
      <c r="F468" s="7">
        <f t="shared" si="83"/>
        <v>1100</v>
      </c>
      <c r="G468" s="7"/>
      <c r="H468" s="7">
        <v>1100</v>
      </c>
      <c r="I468" s="14"/>
      <c r="J468" s="14"/>
      <c r="K468" s="545"/>
      <c r="L468" s="99"/>
      <c r="M468" s="106"/>
    </row>
    <row r="469" spans="1:32" ht="15" x14ac:dyDescent="0.25">
      <c r="A469" s="323"/>
      <c r="B469" s="258"/>
      <c r="C469" s="238"/>
      <c r="D469" s="244"/>
      <c r="E469" s="212">
        <v>2018</v>
      </c>
      <c r="F469" s="7">
        <f t="shared" si="83"/>
        <v>850</v>
      </c>
      <c r="G469" s="7"/>
      <c r="H469" s="7">
        <v>850</v>
      </c>
      <c r="I469" s="14"/>
      <c r="J469" s="14"/>
      <c r="K469" s="545"/>
      <c r="L469" s="99"/>
      <c r="M469" s="106"/>
    </row>
    <row r="470" spans="1:32" ht="15" x14ac:dyDescent="0.25">
      <c r="A470" s="323"/>
      <c r="B470" s="258"/>
      <c r="C470" s="238"/>
      <c r="D470" s="244"/>
      <c r="E470" s="212">
        <v>2019</v>
      </c>
      <c r="F470" s="7">
        <f t="shared" si="83"/>
        <v>1000</v>
      </c>
      <c r="G470" s="7"/>
      <c r="H470" s="7">
        <v>1000</v>
      </c>
      <c r="I470" s="14"/>
      <c r="J470" s="14"/>
      <c r="K470" s="545"/>
      <c r="L470" s="99"/>
      <c r="M470" s="106"/>
    </row>
    <row r="471" spans="1:32" ht="15" x14ac:dyDescent="0.25">
      <c r="A471" s="323"/>
      <c r="B471" s="258"/>
      <c r="C471" s="238"/>
      <c r="D471" s="244"/>
      <c r="E471" s="212">
        <v>2020</v>
      </c>
      <c r="F471" s="7">
        <f t="shared" si="83"/>
        <v>1080.0999999999999</v>
      </c>
      <c r="G471" s="7"/>
      <c r="H471" s="7">
        <v>1080.0999999999999</v>
      </c>
      <c r="I471" s="14"/>
      <c r="J471" s="14"/>
      <c r="K471" s="545"/>
    </row>
    <row r="472" spans="1:32" ht="15" x14ac:dyDescent="0.25">
      <c r="A472" s="323"/>
      <c r="B472" s="544"/>
      <c r="C472" s="238"/>
      <c r="D472" s="244"/>
      <c r="E472" s="224">
        <v>2021</v>
      </c>
      <c r="F472" s="7">
        <f t="shared" ref="F472:F476" si="84">SUM(G472:J472)</f>
        <v>1150</v>
      </c>
      <c r="G472" s="7"/>
      <c r="H472" s="7">
        <v>1150</v>
      </c>
      <c r="I472" s="14"/>
      <c r="J472" s="14"/>
      <c r="K472" s="545"/>
      <c r="L472" s="99"/>
    </row>
    <row r="473" spans="1:32" ht="15" x14ac:dyDescent="0.25">
      <c r="A473" s="323"/>
      <c r="B473" s="544"/>
      <c r="C473" s="238"/>
      <c r="D473" s="244"/>
      <c r="E473" s="224">
        <v>2022</v>
      </c>
      <c r="F473" s="7">
        <f t="shared" si="84"/>
        <v>1300</v>
      </c>
      <c r="G473" s="7"/>
      <c r="H473" s="7">
        <v>1300</v>
      </c>
      <c r="I473" s="14"/>
      <c r="J473" s="14"/>
      <c r="K473" s="545"/>
      <c r="L473" s="99"/>
      <c r="M473" s="106"/>
    </row>
    <row r="474" spans="1:32" ht="15" x14ac:dyDescent="0.25">
      <c r="A474" s="323"/>
      <c r="B474" s="544"/>
      <c r="C474" s="238"/>
      <c r="D474" s="244"/>
      <c r="E474" s="224">
        <v>2023</v>
      </c>
      <c r="F474" s="7">
        <f t="shared" si="84"/>
        <v>1360</v>
      </c>
      <c r="G474" s="7"/>
      <c r="H474" s="7">
        <v>1360</v>
      </c>
      <c r="I474" s="14"/>
      <c r="J474" s="14"/>
      <c r="K474" s="545"/>
      <c r="L474" s="99"/>
      <c r="M474" s="106"/>
    </row>
    <row r="475" spans="1:32" ht="15" x14ac:dyDescent="0.25">
      <c r="A475" s="323"/>
      <c r="B475" s="544"/>
      <c r="C475" s="238"/>
      <c r="D475" s="244"/>
      <c r="E475" s="224">
        <v>2024</v>
      </c>
      <c r="F475" s="7">
        <f t="shared" si="84"/>
        <v>1422</v>
      </c>
      <c r="G475" s="7"/>
      <c r="H475" s="7">
        <v>1422</v>
      </c>
      <c r="I475" s="14"/>
      <c r="J475" s="14"/>
      <c r="K475" s="545"/>
      <c r="L475" s="99"/>
      <c r="M475" s="106"/>
    </row>
    <row r="476" spans="1:32" ht="15" x14ac:dyDescent="0.25">
      <c r="A476" s="323"/>
      <c r="B476" s="544"/>
      <c r="C476" s="238"/>
      <c r="D476" s="244"/>
      <c r="E476" s="224">
        <v>2025</v>
      </c>
      <c r="F476" s="7">
        <f t="shared" si="84"/>
        <v>1488</v>
      </c>
      <c r="G476" s="7"/>
      <c r="H476" s="7">
        <v>1488</v>
      </c>
      <c r="I476" s="14"/>
      <c r="J476" s="14"/>
      <c r="K476" s="545"/>
    </row>
    <row r="477" spans="1:32" ht="63.75" customHeight="1" x14ac:dyDescent="0.2">
      <c r="A477" s="323"/>
      <c r="B477" s="544"/>
      <c r="C477" s="238"/>
      <c r="D477" s="244"/>
      <c r="E477" s="26" t="s">
        <v>18</v>
      </c>
      <c r="F477" s="9">
        <f>SUM(F466:F476)</f>
        <v>13396.4</v>
      </c>
      <c r="G477" s="9"/>
      <c r="H477" s="9">
        <f>SUM(H466:H476)</f>
        <v>13396.4</v>
      </c>
      <c r="I477" s="22"/>
      <c r="J477" s="22"/>
      <c r="K477" s="545"/>
      <c r="L477" s="126"/>
      <c r="M477" s="127"/>
    </row>
    <row r="478" spans="1:32" ht="18" customHeight="1" thickBot="1" x14ac:dyDescent="0.25">
      <c r="A478" s="260" t="s">
        <v>211</v>
      </c>
      <c r="B478" s="260"/>
      <c r="C478" s="260"/>
      <c r="D478" s="260"/>
      <c r="E478" s="206"/>
      <c r="F478" s="152">
        <f>F477</f>
        <v>13396.4</v>
      </c>
      <c r="G478" s="153"/>
      <c r="H478" s="152">
        <f>H477</f>
        <v>13396.4</v>
      </c>
      <c r="I478" s="206"/>
      <c r="J478" s="206"/>
      <c r="K478" s="206"/>
    </row>
    <row r="479" spans="1:32" ht="16.5" thickBot="1" x14ac:dyDescent="0.25">
      <c r="A479" s="261" t="s">
        <v>399</v>
      </c>
      <c r="B479" s="262"/>
      <c r="C479" s="262"/>
      <c r="D479" s="262"/>
      <c r="E479" s="262"/>
      <c r="F479" s="262"/>
      <c r="G479" s="262"/>
      <c r="H479" s="262"/>
      <c r="I479" s="262"/>
      <c r="J479" s="262"/>
      <c r="K479" s="263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55"/>
      <c r="AA479" s="55"/>
      <c r="AB479" s="55"/>
      <c r="AC479" s="55"/>
      <c r="AD479" s="55"/>
      <c r="AE479" s="55"/>
      <c r="AF479" s="56"/>
    </row>
    <row r="480" spans="1:32" ht="12.75" customHeight="1" x14ac:dyDescent="0.25">
      <c r="A480" s="503" t="s">
        <v>400</v>
      </c>
      <c r="B480" s="247" t="s">
        <v>297</v>
      </c>
      <c r="C480" s="242" t="s">
        <v>299</v>
      </c>
      <c r="D480" s="277" t="s">
        <v>209</v>
      </c>
      <c r="E480" s="212">
        <v>2017</v>
      </c>
      <c r="F480" s="7">
        <f t="shared" ref="F480:F483" si="85">SUM(G480:I480)</f>
        <v>12698.3</v>
      </c>
      <c r="G480" s="7"/>
      <c r="H480" s="7"/>
      <c r="I480" s="7">
        <f>12064+626.3+8</f>
        <v>12698.3</v>
      </c>
      <c r="J480" s="14"/>
      <c r="K480" s="504" t="s">
        <v>380</v>
      </c>
      <c r="L480" s="104" t="s">
        <v>345</v>
      </c>
      <c r="M480" s="104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</row>
    <row r="481" spans="1:35" ht="12.75" customHeight="1" x14ac:dyDescent="0.25">
      <c r="A481" s="503"/>
      <c r="B481" s="458"/>
      <c r="C481" s="242"/>
      <c r="D481" s="277"/>
      <c r="E481" s="212">
        <v>2018</v>
      </c>
      <c r="F481" s="7">
        <f t="shared" si="85"/>
        <v>10661.1</v>
      </c>
      <c r="G481" s="7"/>
      <c r="H481" s="7"/>
      <c r="I481" s="7">
        <f>8500+2161.1</f>
        <v>10661.1</v>
      </c>
      <c r="J481" s="14"/>
      <c r="K481" s="505"/>
      <c r="L481" s="46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</row>
    <row r="482" spans="1:35" ht="12.75" customHeight="1" x14ac:dyDescent="0.25">
      <c r="A482" s="503"/>
      <c r="B482" s="458"/>
      <c r="C482" s="242"/>
      <c r="D482" s="277"/>
      <c r="E482" s="212">
        <v>2019</v>
      </c>
      <c r="F482" s="7">
        <f t="shared" si="85"/>
        <v>5650</v>
      </c>
      <c r="G482" s="7"/>
      <c r="H482" s="7"/>
      <c r="I482" s="7">
        <v>5650</v>
      </c>
      <c r="J482" s="14"/>
      <c r="K482" s="505"/>
      <c r="L482" s="104"/>
      <c r="M482" s="104"/>
      <c r="N482" s="28"/>
      <c r="O482" s="28"/>
      <c r="P482" s="104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</row>
    <row r="483" spans="1:35" ht="12.75" customHeight="1" x14ac:dyDescent="0.25">
      <c r="A483" s="503"/>
      <c r="B483" s="458"/>
      <c r="C483" s="242"/>
      <c r="D483" s="277"/>
      <c r="E483" s="212">
        <v>2020</v>
      </c>
      <c r="F483" s="7">
        <f t="shared" si="85"/>
        <v>3650</v>
      </c>
      <c r="G483" s="7"/>
      <c r="H483" s="7"/>
      <c r="I483" s="7">
        <v>3650</v>
      </c>
      <c r="J483" s="14"/>
      <c r="K483" s="505"/>
      <c r="L483" s="104"/>
      <c r="M483" s="104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</row>
    <row r="484" spans="1:35" ht="12.75" customHeight="1" x14ac:dyDescent="0.25">
      <c r="A484" s="503"/>
      <c r="B484" s="458"/>
      <c r="C484" s="242"/>
      <c r="D484" s="277"/>
      <c r="E484" s="224">
        <v>2021</v>
      </c>
      <c r="F484" s="7">
        <f t="shared" ref="F484:F487" si="86">SUM(G484:I484)</f>
        <v>2000</v>
      </c>
      <c r="G484" s="7"/>
      <c r="H484" s="7"/>
      <c r="I484" s="7">
        <v>2000</v>
      </c>
      <c r="J484" s="14"/>
      <c r="K484" s="505"/>
      <c r="L484" s="104" t="s">
        <v>345</v>
      </c>
      <c r="M484" s="104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</row>
    <row r="485" spans="1:35" ht="12.75" customHeight="1" x14ac:dyDescent="0.25">
      <c r="A485" s="503"/>
      <c r="B485" s="458"/>
      <c r="C485" s="242"/>
      <c r="D485" s="277"/>
      <c r="E485" s="224">
        <v>2022</v>
      </c>
      <c r="F485" s="7">
        <f t="shared" si="86"/>
        <v>2280</v>
      </c>
      <c r="G485" s="7"/>
      <c r="H485" s="7"/>
      <c r="I485" s="7">
        <v>2280</v>
      </c>
      <c r="J485" s="14"/>
      <c r="K485" s="505"/>
      <c r="L485" s="46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</row>
    <row r="486" spans="1:35" ht="12.75" customHeight="1" x14ac:dyDescent="0.25">
      <c r="A486" s="503"/>
      <c r="B486" s="458"/>
      <c r="C486" s="242"/>
      <c r="D486" s="277"/>
      <c r="E486" s="224">
        <v>2023</v>
      </c>
      <c r="F486" s="7">
        <f t="shared" si="86"/>
        <v>2371</v>
      </c>
      <c r="G486" s="7"/>
      <c r="H486" s="7"/>
      <c r="I486" s="7">
        <v>2371</v>
      </c>
      <c r="J486" s="14"/>
      <c r="K486" s="505"/>
      <c r="L486" s="104"/>
      <c r="M486" s="104"/>
      <c r="N486" s="28"/>
      <c r="O486" s="28"/>
      <c r="P486" s="104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</row>
    <row r="487" spans="1:35" ht="12.75" customHeight="1" x14ac:dyDescent="0.25">
      <c r="A487" s="503"/>
      <c r="B487" s="458"/>
      <c r="C487" s="242"/>
      <c r="D487" s="277"/>
      <c r="E487" s="224">
        <v>2024</v>
      </c>
      <c r="F487" s="7">
        <f t="shared" si="86"/>
        <v>2466</v>
      </c>
      <c r="G487" s="7"/>
      <c r="H487" s="7"/>
      <c r="I487" s="7">
        <v>2466</v>
      </c>
      <c r="J487" s="14"/>
      <c r="K487" s="505"/>
      <c r="L487" s="104"/>
      <c r="M487" s="104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</row>
    <row r="488" spans="1:35" ht="12.75" customHeight="1" x14ac:dyDescent="0.25">
      <c r="A488" s="503"/>
      <c r="B488" s="458"/>
      <c r="C488" s="242"/>
      <c r="D488" s="277"/>
      <c r="E488" s="224">
        <v>2025</v>
      </c>
      <c r="F488" s="7">
        <f t="shared" ref="F488" si="87">SUM(G488:I488)</f>
        <v>2564</v>
      </c>
      <c r="G488" s="7"/>
      <c r="H488" s="7"/>
      <c r="I488" s="7">
        <v>2564</v>
      </c>
      <c r="J488" s="14"/>
      <c r="K488" s="505"/>
      <c r="L488" s="104"/>
      <c r="M488" s="104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</row>
    <row r="489" spans="1:35" ht="36" customHeight="1" x14ac:dyDescent="0.2">
      <c r="A489" s="503"/>
      <c r="B489" s="458"/>
      <c r="C489" s="242"/>
      <c r="D489" s="277"/>
      <c r="E489" s="26" t="s">
        <v>18</v>
      </c>
      <c r="F489" s="9">
        <f>SUM(F480:F488)</f>
        <v>44340.4</v>
      </c>
      <c r="G489" s="9"/>
      <c r="H489" s="9"/>
      <c r="I489" s="9">
        <f>SUM(I480:I488)</f>
        <v>44340.4</v>
      </c>
      <c r="J489" s="22"/>
      <c r="K489" s="506"/>
    </row>
    <row r="490" spans="1:35" ht="47.25" customHeight="1" thickBot="1" x14ac:dyDescent="0.3">
      <c r="A490" s="529" t="s">
        <v>212</v>
      </c>
      <c r="B490" s="529"/>
      <c r="C490" s="529"/>
      <c r="D490" s="530"/>
      <c r="E490" s="169" t="s">
        <v>61</v>
      </c>
      <c r="F490" s="169" t="s">
        <v>18</v>
      </c>
      <c r="G490" s="169" t="s">
        <v>10</v>
      </c>
      <c r="H490" s="170" t="s">
        <v>11</v>
      </c>
      <c r="I490" s="170" t="s">
        <v>12</v>
      </c>
      <c r="J490" s="170" t="s">
        <v>13</v>
      </c>
      <c r="K490" s="171"/>
    </row>
    <row r="491" spans="1:35" ht="15" thickBot="1" x14ac:dyDescent="0.25">
      <c r="A491" s="531"/>
      <c r="B491" s="531"/>
      <c r="C491" s="531"/>
      <c r="D491" s="532"/>
      <c r="E491" s="172"/>
      <c r="F491" s="173">
        <f>SUM(G491:J491)</f>
        <v>9491648.9000000004</v>
      </c>
      <c r="G491" s="173">
        <f>G477+G464+G455+G431+G358+G303</f>
        <v>0</v>
      </c>
      <c r="H491" s="173">
        <f>H477+H464+H455+H431+H358+H303</f>
        <v>8854736.4000000004</v>
      </c>
      <c r="I491" s="173">
        <f>I477+I464+I455+I431+I358+I303+I489</f>
        <v>636912.50000000012</v>
      </c>
      <c r="J491" s="174"/>
      <c r="K491" s="175"/>
    </row>
    <row r="492" spans="1:35" ht="41.25" customHeight="1" x14ac:dyDescent="0.2">
      <c r="A492" s="301" t="s">
        <v>220</v>
      </c>
      <c r="B492" s="302"/>
      <c r="C492" s="302"/>
      <c r="D492" s="302"/>
      <c r="E492" s="302"/>
      <c r="F492" s="302"/>
      <c r="G492" s="302"/>
      <c r="H492" s="302"/>
      <c r="I492" s="302"/>
      <c r="J492" s="302"/>
      <c r="K492" s="302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F492" s="38"/>
      <c r="AG492" s="38"/>
      <c r="AH492" s="38"/>
      <c r="AI492" s="39"/>
    </row>
    <row r="493" spans="1:35" ht="35.25" customHeight="1" x14ac:dyDescent="0.2">
      <c r="A493" s="320" t="s">
        <v>185</v>
      </c>
      <c r="B493" s="321"/>
      <c r="C493" s="321"/>
      <c r="D493" s="321"/>
      <c r="E493" s="321"/>
      <c r="F493" s="321"/>
      <c r="G493" s="321"/>
      <c r="H493" s="321"/>
      <c r="I493" s="321"/>
      <c r="J493" s="321"/>
      <c r="K493" s="321"/>
      <c r="L493" s="57"/>
      <c r="M493" s="57"/>
      <c r="N493" s="57"/>
      <c r="O493" s="57"/>
      <c r="P493" s="57"/>
      <c r="Q493" s="57"/>
      <c r="R493" s="57"/>
      <c r="S493" s="57"/>
      <c r="T493" s="57"/>
      <c r="U493" s="57"/>
      <c r="V493" s="57"/>
      <c r="W493" s="57"/>
      <c r="X493" s="57"/>
      <c r="Y493" s="57"/>
      <c r="Z493" s="57"/>
      <c r="AA493" s="57"/>
      <c r="AB493" s="57"/>
      <c r="AC493" s="57"/>
      <c r="AD493" s="57"/>
      <c r="AE493" s="57"/>
      <c r="AF493" s="57"/>
      <c r="AG493" s="57"/>
      <c r="AH493" s="57"/>
      <c r="AI493" s="58"/>
    </row>
    <row r="494" spans="1:35" x14ac:dyDescent="0.2">
      <c r="A494" s="517" t="s">
        <v>101</v>
      </c>
      <c r="B494" s="232" t="s">
        <v>69</v>
      </c>
      <c r="C494" s="234" t="s">
        <v>68</v>
      </c>
      <c r="D494" s="236" t="s">
        <v>209</v>
      </c>
      <c r="E494" s="212">
        <v>2015</v>
      </c>
      <c r="F494" s="212"/>
      <c r="G494" s="212"/>
      <c r="H494" s="212"/>
      <c r="I494" s="212"/>
      <c r="J494" s="212"/>
      <c r="K494" s="236" t="s">
        <v>150</v>
      </c>
    </row>
    <row r="495" spans="1:35" x14ac:dyDescent="0.2">
      <c r="A495" s="323"/>
      <c r="B495" s="475"/>
      <c r="C495" s="238"/>
      <c r="D495" s="244"/>
      <c r="E495" s="212">
        <v>2016</v>
      </c>
      <c r="F495" s="212"/>
      <c r="G495" s="212"/>
      <c r="H495" s="212"/>
      <c r="I495" s="212"/>
      <c r="J495" s="212"/>
      <c r="K495" s="244"/>
    </row>
    <row r="496" spans="1:35" x14ac:dyDescent="0.2">
      <c r="A496" s="323"/>
      <c r="B496" s="475"/>
      <c r="C496" s="238"/>
      <c r="D496" s="244"/>
      <c r="E496" s="212">
        <v>2017</v>
      </c>
      <c r="F496" s="212"/>
      <c r="G496" s="212"/>
      <c r="H496" s="212"/>
      <c r="I496" s="212"/>
      <c r="J496" s="212"/>
      <c r="K496" s="244"/>
    </row>
    <row r="497" spans="1:35" x14ac:dyDescent="0.2">
      <c r="A497" s="323"/>
      <c r="B497" s="475"/>
      <c r="C497" s="238"/>
      <c r="D497" s="244"/>
      <c r="E497" s="212">
        <v>2018</v>
      </c>
      <c r="F497" s="212"/>
      <c r="G497" s="212"/>
      <c r="H497" s="212"/>
      <c r="I497" s="212"/>
      <c r="J497" s="212"/>
      <c r="K497" s="244"/>
      <c r="L497" s="99"/>
    </row>
    <row r="498" spans="1:35" x14ac:dyDescent="0.2">
      <c r="A498" s="323"/>
      <c r="B498" s="475"/>
      <c r="C498" s="238"/>
      <c r="D498" s="244"/>
      <c r="E498" s="212">
        <v>2019</v>
      </c>
      <c r="F498" s="212"/>
      <c r="G498" s="212"/>
      <c r="H498" s="212"/>
      <c r="I498" s="212"/>
      <c r="J498" s="212"/>
      <c r="K498" s="244"/>
    </row>
    <row r="499" spans="1:35" x14ac:dyDescent="0.2">
      <c r="A499" s="323"/>
      <c r="B499" s="475"/>
      <c r="C499" s="238"/>
      <c r="D499" s="244"/>
      <c r="E499" s="212">
        <v>2020</v>
      </c>
      <c r="F499" s="212"/>
      <c r="G499" s="212"/>
      <c r="H499" s="212"/>
      <c r="I499" s="212"/>
      <c r="J499" s="212"/>
      <c r="K499" s="244"/>
      <c r="L499" s="127"/>
      <c r="M499" s="127"/>
    </row>
    <row r="500" spans="1:35" ht="13.5" thickBot="1" x14ac:dyDescent="0.25">
      <c r="A500" s="323"/>
      <c r="B500" s="475"/>
      <c r="C500" s="238"/>
      <c r="D500" s="244"/>
      <c r="E500" s="26" t="s">
        <v>18</v>
      </c>
      <c r="F500" s="26"/>
      <c r="G500" s="220"/>
      <c r="H500" s="220"/>
      <c r="I500" s="220"/>
      <c r="J500" s="220"/>
      <c r="K500" s="244"/>
    </row>
    <row r="501" spans="1:35" ht="30" customHeight="1" thickBot="1" x14ac:dyDescent="0.25">
      <c r="A501" s="303" t="s">
        <v>186</v>
      </c>
      <c r="B501" s="321"/>
      <c r="C501" s="321"/>
      <c r="D501" s="321"/>
      <c r="E501" s="321"/>
      <c r="F501" s="321"/>
      <c r="G501" s="321"/>
      <c r="H501" s="321"/>
      <c r="I501" s="321"/>
      <c r="J501" s="321"/>
      <c r="K501" s="321"/>
      <c r="L501" s="59"/>
      <c r="M501" s="59"/>
      <c r="N501" s="59"/>
      <c r="O501" s="59"/>
      <c r="P501" s="59"/>
      <c r="Q501" s="59"/>
      <c r="R501" s="59"/>
      <c r="S501" s="59"/>
      <c r="T501" s="59"/>
      <c r="U501" s="59"/>
      <c r="V501" s="59"/>
      <c r="W501" s="59"/>
      <c r="X501" s="59"/>
      <c r="Y501" s="59"/>
      <c r="Z501" s="59"/>
      <c r="AA501" s="59"/>
      <c r="AB501" s="59"/>
      <c r="AC501" s="59"/>
      <c r="AD501" s="59"/>
      <c r="AE501" s="59"/>
      <c r="AF501" s="59"/>
      <c r="AG501" s="59"/>
      <c r="AH501" s="59"/>
      <c r="AI501" s="60"/>
    </row>
    <row r="502" spans="1:35" ht="15" thickBot="1" x14ac:dyDescent="0.25">
      <c r="A502" s="546" t="s">
        <v>70</v>
      </c>
      <c r="B502" s="547"/>
      <c r="C502" s="547"/>
      <c r="D502" s="547"/>
      <c r="E502" s="547"/>
      <c r="F502" s="547"/>
      <c r="G502" s="547"/>
      <c r="H502" s="547"/>
      <c r="I502" s="547"/>
      <c r="J502" s="547"/>
      <c r="K502" s="548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  <c r="AA502" s="61"/>
      <c r="AB502" s="61"/>
      <c r="AC502" s="61"/>
      <c r="AD502" s="61"/>
      <c r="AE502" s="61"/>
      <c r="AF502" s="61"/>
      <c r="AG502" s="61"/>
      <c r="AH502" s="61"/>
      <c r="AI502" s="62"/>
    </row>
    <row r="503" spans="1:35" ht="12.75" customHeight="1" x14ac:dyDescent="0.25">
      <c r="A503" s="350" t="s">
        <v>64</v>
      </c>
      <c r="B503" s="439" t="s">
        <v>152</v>
      </c>
      <c r="C503" s="234" t="s">
        <v>410</v>
      </c>
      <c r="D503" s="236" t="s">
        <v>209</v>
      </c>
      <c r="E503" s="212">
        <v>2015</v>
      </c>
      <c r="F503" s="7">
        <f t="shared" ref="F503:F508" si="88">SUM(G503:J503)</f>
        <v>44637.9</v>
      </c>
      <c r="G503" s="7"/>
      <c r="H503" s="7"/>
      <c r="I503" s="7">
        <f>49100-1324.1-939.1-30-1573.9-583-12</f>
        <v>44637.9</v>
      </c>
      <c r="J503" s="14"/>
      <c r="K503" s="236" t="s">
        <v>151</v>
      </c>
    </row>
    <row r="504" spans="1:35" ht="15" x14ac:dyDescent="0.25">
      <c r="A504" s="351"/>
      <c r="B504" s="241"/>
      <c r="C504" s="238"/>
      <c r="D504" s="244"/>
      <c r="E504" s="212">
        <v>2016</v>
      </c>
      <c r="F504" s="7">
        <f t="shared" si="88"/>
        <v>44921</v>
      </c>
      <c r="G504" s="7"/>
      <c r="H504" s="7"/>
      <c r="I504" s="7">
        <f>47428-1000-707-500-300</f>
        <v>44921</v>
      </c>
      <c r="J504" s="14"/>
      <c r="K504" s="244"/>
    </row>
    <row r="505" spans="1:35" ht="15" x14ac:dyDescent="0.25">
      <c r="A505" s="351"/>
      <c r="B505" s="241"/>
      <c r="C505" s="238"/>
      <c r="D505" s="244"/>
      <c r="E505" s="212">
        <v>2017</v>
      </c>
      <c r="F505" s="7">
        <f t="shared" si="88"/>
        <v>48074.7</v>
      </c>
      <c r="G505" s="7"/>
      <c r="H505" s="7"/>
      <c r="I505" s="7">
        <f>42110.2+3343.8+2620.7</f>
        <v>48074.7</v>
      </c>
      <c r="J505" s="14"/>
      <c r="K505" s="244"/>
      <c r="L505" s="128" t="s">
        <v>351</v>
      </c>
      <c r="M505" s="4">
        <v>3343.8</v>
      </c>
    </row>
    <row r="506" spans="1:35" ht="15" x14ac:dyDescent="0.25">
      <c r="A506" s="351"/>
      <c r="B506" s="241"/>
      <c r="C506" s="238"/>
      <c r="D506" s="244"/>
      <c r="E506" s="212">
        <v>2018</v>
      </c>
      <c r="F506" s="7">
        <f t="shared" si="88"/>
        <v>63892.7</v>
      </c>
      <c r="G506" s="7"/>
      <c r="H506" s="7"/>
      <c r="I506" s="7">
        <f>46681.7+17211</f>
        <v>63892.7</v>
      </c>
      <c r="J506" s="14"/>
      <c r="K506" s="244"/>
      <c r="L506" s="99"/>
      <c r="M506" s="106"/>
    </row>
    <row r="507" spans="1:35" ht="15" x14ac:dyDescent="0.25">
      <c r="A507" s="351"/>
      <c r="B507" s="241"/>
      <c r="C507" s="238"/>
      <c r="D507" s="244"/>
      <c r="E507" s="212">
        <v>2019</v>
      </c>
      <c r="F507" s="7">
        <f t="shared" ref="F507" si="89">SUM(G507:J507)</f>
        <v>77903.399999999994</v>
      </c>
      <c r="G507" s="7"/>
      <c r="H507" s="7"/>
      <c r="I507" s="7">
        <f>63452+14451.4</f>
        <v>77903.399999999994</v>
      </c>
      <c r="J507" s="14"/>
      <c r="K507" s="244"/>
      <c r="L507" s="99"/>
      <c r="M507" s="106"/>
    </row>
    <row r="508" spans="1:35" ht="15" x14ac:dyDescent="0.25">
      <c r="A508" s="351"/>
      <c r="B508" s="241"/>
      <c r="C508" s="238"/>
      <c r="D508" s="244"/>
      <c r="E508" s="212">
        <v>2020</v>
      </c>
      <c r="F508" s="7">
        <f t="shared" si="88"/>
        <v>63452</v>
      </c>
      <c r="G508" s="7"/>
      <c r="H508" s="7"/>
      <c r="I508" s="7">
        <v>63452</v>
      </c>
      <c r="J508" s="14"/>
      <c r="K508" s="244"/>
    </row>
    <row r="509" spans="1:35" ht="15" x14ac:dyDescent="0.25">
      <c r="A509" s="351"/>
      <c r="B509" s="249"/>
      <c r="C509" s="238"/>
      <c r="D509" s="244"/>
      <c r="E509" s="224">
        <v>2021</v>
      </c>
      <c r="F509" s="7">
        <f t="shared" ref="F509:F511" si="90">SUM(G509:J509)</f>
        <v>63452</v>
      </c>
      <c r="G509" s="7"/>
      <c r="H509" s="7"/>
      <c r="I509" s="7">
        <v>63452</v>
      </c>
      <c r="J509" s="14"/>
      <c r="K509" s="244"/>
    </row>
    <row r="510" spans="1:35" ht="15" x14ac:dyDescent="0.25">
      <c r="A510" s="351"/>
      <c r="B510" s="249"/>
      <c r="C510" s="238"/>
      <c r="D510" s="244"/>
      <c r="E510" s="224">
        <v>2022</v>
      </c>
      <c r="F510" s="7">
        <f t="shared" si="90"/>
        <v>65990.100000000006</v>
      </c>
      <c r="G510" s="7"/>
      <c r="H510" s="7"/>
      <c r="I510" s="7">
        <v>65990.100000000006</v>
      </c>
      <c r="J510" s="14"/>
      <c r="K510" s="244"/>
      <c r="L510" s="128" t="s">
        <v>351</v>
      </c>
      <c r="M510" s="4">
        <v>3343.8</v>
      </c>
    </row>
    <row r="511" spans="1:35" ht="15" x14ac:dyDescent="0.25">
      <c r="A511" s="351"/>
      <c r="B511" s="249"/>
      <c r="C511" s="238"/>
      <c r="D511" s="244"/>
      <c r="E511" s="224">
        <v>2023</v>
      </c>
      <c r="F511" s="7">
        <f t="shared" si="90"/>
        <v>68629.7</v>
      </c>
      <c r="G511" s="7"/>
      <c r="H511" s="7"/>
      <c r="I511" s="7">
        <v>68629.7</v>
      </c>
      <c r="J511" s="14"/>
      <c r="K511" s="244"/>
      <c r="L511" s="99"/>
      <c r="M511" s="106"/>
    </row>
    <row r="512" spans="1:35" ht="15" x14ac:dyDescent="0.25">
      <c r="A512" s="351"/>
      <c r="B512" s="249"/>
      <c r="C512" s="238"/>
      <c r="D512" s="244"/>
      <c r="E512" s="224">
        <v>2024</v>
      </c>
      <c r="F512" s="7">
        <f t="shared" ref="F512" si="91">SUM(G512:J512)</f>
        <v>71374.899999999994</v>
      </c>
      <c r="G512" s="7"/>
      <c r="H512" s="7"/>
      <c r="I512" s="7">
        <v>71374.899999999994</v>
      </c>
      <c r="J512" s="14"/>
      <c r="K512" s="244"/>
      <c r="L512" s="99"/>
      <c r="M512" s="106"/>
    </row>
    <row r="513" spans="1:35" ht="15" x14ac:dyDescent="0.25">
      <c r="A513" s="351"/>
      <c r="B513" s="249"/>
      <c r="C513" s="238"/>
      <c r="D513" s="244"/>
      <c r="E513" s="224">
        <v>2025</v>
      </c>
      <c r="F513" s="7">
        <f t="shared" ref="F513" si="92">SUM(G513:J513)</f>
        <v>74230</v>
      </c>
      <c r="G513" s="7"/>
      <c r="H513" s="7"/>
      <c r="I513" s="7">
        <v>74230</v>
      </c>
      <c r="J513" s="14"/>
      <c r="K513" s="244"/>
    </row>
    <row r="514" spans="1:35" ht="15.75" customHeight="1" thickBot="1" x14ac:dyDescent="0.25">
      <c r="A514" s="351"/>
      <c r="B514" s="249"/>
      <c r="C514" s="343"/>
      <c r="D514" s="244"/>
      <c r="E514" s="18" t="s">
        <v>18</v>
      </c>
      <c r="F514" s="8">
        <f>SUM(F503:F513)</f>
        <v>686558.39999999991</v>
      </c>
      <c r="G514" s="8"/>
      <c r="H514" s="8">
        <f>SUM(H506:H508)</f>
        <v>0</v>
      </c>
      <c r="I514" s="8">
        <f>SUM(I503:I513)</f>
        <v>686558.39999999991</v>
      </c>
      <c r="J514" s="14"/>
      <c r="K514" s="237"/>
    </row>
    <row r="515" spans="1:35" ht="15" thickBot="1" x14ac:dyDescent="0.25">
      <c r="A515" s="247" t="s">
        <v>71</v>
      </c>
      <c r="B515" s="241"/>
      <c r="C515" s="241"/>
      <c r="D515" s="241"/>
      <c r="E515" s="241"/>
      <c r="F515" s="241"/>
      <c r="G515" s="241"/>
      <c r="H515" s="241"/>
      <c r="I515" s="241"/>
      <c r="J515" s="241"/>
      <c r="K515" s="241"/>
      <c r="L515" s="25"/>
      <c r="M515" s="63"/>
      <c r="N515" s="63"/>
      <c r="O515" s="63"/>
      <c r="P515" s="63"/>
      <c r="Q515" s="63"/>
      <c r="R515" s="63"/>
      <c r="S515" s="63"/>
      <c r="T515" s="63"/>
      <c r="U515" s="63"/>
      <c r="V515" s="63"/>
      <c r="W515" s="63"/>
      <c r="X515" s="63"/>
      <c r="Y515" s="63"/>
      <c r="Z515" s="63"/>
      <c r="AA515" s="63"/>
      <c r="AB515" s="63"/>
      <c r="AC515" s="63"/>
      <c r="AD515" s="63"/>
      <c r="AE515" s="63"/>
      <c r="AF515" s="63"/>
      <c r="AG515" s="63"/>
      <c r="AH515" s="63"/>
      <c r="AI515" s="64"/>
    </row>
    <row r="516" spans="1:35" x14ac:dyDescent="0.2">
      <c r="A516" s="364" t="s">
        <v>280</v>
      </c>
      <c r="B516" s="439" t="s">
        <v>153</v>
      </c>
      <c r="C516" s="234" t="s">
        <v>68</v>
      </c>
      <c r="D516" s="236" t="s">
        <v>209</v>
      </c>
      <c r="E516" s="212">
        <v>2015</v>
      </c>
      <c r="F516" s="14"/>
      <c r="G516" s="14"/>
      <c r="H516" s="14"/>
      <c r="I516" s="14"/>
      <c r="J516" s="14"/>
      <c r="K516" s="236" t="s">
        <v>154</v>
      </c>
      <c r="L516" s="28"/>
    </row>
    <row r="517" spans="1:35" x14ac:dyDescent="0.2">
      <c r="A517" s="365"/>
      <c r="B517" s="241"/>
      <c r="C517" s="238"/>
      <c r="D517" s="244"/>
      <c r="E517" s="212">
        <v>2016</v>
      </c>
      <c r="F517" s="14"/>
      <c r="G517" s="14"/>
      <c r="H517" s="14"/>
      <c r="I517" s="14"/>
      <c r="J517" s="14"/>
      <c r="K517" s="244"/>
    </row>
    <row r="518" spans="1:35" x14ac:dyDescent="0.2">
      <c r="A518" s="365"/>
      <c r="B518" s="241"/>
      <c r="C518" s="238"/>
      <c r="D518" s="244"/>
      <c r="E518" s="212">
        <v>2017</v>
      </c>
      <c r="F518" s="14"/>
      <c r="G518" s="14"/>
      <c r="H518" s="14"/>
      <c r="I518" s="14"/>
      <c r="J518" s="14"/>
      <c r="K518" s="244"/>
      <c r="L518" s="99"/>
    </row>
    <row r="519" spans="1:35" ht="15" x14ac:dyDescent="0.25">
      <c r="A519" s="365"/>
      <c r="B519" s="241"/>
      <c r="C519" s="238"/>
      <c r="D519" s="244"/>
      <c r="E519" s="212">
        <v>2018</v>
      </c>
      <c r="F519" s="7">
        <f>SUM(G519:J519)</f>
        <v>0</v>
      </c>
      <c r="G519" s="7"/>
      <c r="H519" s="7"/>
      <c r="I519" s="7"/>
      <c r="J519" s="7">
        <v>0</v>
      </c>
      <c r="K519" s="244"/>
      <c r="L519" s="99"/>
    </row>
    <row r="520" spans="1:35" ht="15" x14ac:dyDescent="0.25">
      <c r="A520" s="365"/>
      <c r="B520" s="241"/>
      <c r="C520" s="238"/>
      <c r="D520" s="244"/>
      <c r="E520" s="212">
        <v>2019</v>
      </c>
      <c r="F520" s="7">
        <f>SUM(G520:J520)</f>
        <v>0</v>
      </c>
      <c r="G520" s="7"/>
      <c r="H520" s="7"/>
      <c r="I520" s="7"/>
      <c r="J520" s="7">
        <v>0</v>
      </c>
      <c r="K520" s="244"/>
    </row>
    <row r="521" spans="1:35" ht="15" x14ac:dyDescent="0.25">
      <c r="A521" s="365"/>
      <c r="B521" s="241"/>
      <c r="C521" s="238"/>
      <c r="D521" s="244"/>
      <c r="E521" s="212">
        <v>2020</v>
      </c>
      <c r="F521" s="7">
        <f>SUM(G521:J521)</f>
        <v>0</v>
      </c>
      <c r="G521" s="7"/>
      <c r="H521" s="7"/>
      <c r="I521" s="7"/>
      <c r="J521" s="7">
        <v>0</v>
      </c>
      <c r="K521" s="244"/>
    </row>
    <row r="522" spans="1:35" ht="25.5" customHeight="1" x14ac:dyDescent="0.25">
      <c r="A522" s="365"/>
      <c r="B522" s="241"/>
      <c r="C522" s="238"/>
      <c r="D522" s="244"/>
      <c r="E522" s="18" t="s">
        <v>18</v>
      </c>
      <c r="F522" s="8">
        <f>SUM(F516:F521)</f>
        <v>0</v>
      </c>
      <c r="G522" s="7"/>
      <c r="H522" s="7"/>
      <c r="I522" s="7"/>
      <c r="J522" s="8">
        <f>SUM(J516:J521)</f>
        <v>0</v>
      </c>
      <c r="K522" s="237"/>
    </row>
    <row r="523" spans="1:35" x14ac:dyDescent="0.2">
      <c r="A523" s="521" t="s">
        <v>72</v>
      </c>
      <c r="B523" s="253" t="s">
        <v>155</v>
      </c>
      <c r="C523" s="242" t="s">
        <v>68</v>
      </c>
      <c r="D523" s="236" t="s">
        <v>209</v>
      </c>
      <c r="E523" s="213">
        <v>2015</v>
      </c>
      <c r="F523" s="12"/>
      <c r="G523" s="12"/>
      <c r="H523" s="12"/>
      <c r="I523" s="12"/>
      <c r="J523" s="12"/>
      <c r="K523" s="236" t="s">
        <v>154</v>
      </c>
    </row>
    <row r="524" spans="1:35" x14ac:dyDescent="0.2">
      <c r="A524" s="246"/>
      <c r="B524" s="241"/>
      <c r="C524" s="243"/>
      <c r="D524" s="244"/>
      <c r="E524" s="212">
        <v>2016</v>
      </c>
      <c r="F524" s="14"/>
      <c r="G524" s="14"/>
      <c r="H524" s="14"/>
      <c r="I524" s="14"/>
      <c r="J524" s="14"/>
      <c r="K524" s="244"/>
    </row>
    <row r="525" spans="1:35" x14ac:dyDescent="0.2">
      <c r="A525" s="246"/>
      <c r="B525" s="241"/>
      <c r="C525" s="243"/>
      <c r="D525" s="244"/>
      <c r="E525" s="212">
        <v>2017</v>
      </c>
      <c r="F525" s="14"/>
      <c r="G525" s="14"/>
      <c r="H525" s="14"/>
      <c r="I525" s="14"/>
      <c r="J525" s="14"/>
      <c r="K525" s="244"/>
    </row>
    <row r="526" spans="1:35" ht="15" x14ac:dyDescent="0.25">
      <c r="A526" s="246"/>
      <c r="B526" s="241"/>
      <c r="C526" s="243"/>
      <c r="D526" s="244"/>
      <c r="E526" s="212">
        <v>2018</v>
      </c>
      <c r="F526" s="7">
        <f>SUM(G526:J526)</f>
        <v>0</v>
      </c>
      <c r="G526" s="7"/>
      <c r="H526" s="7"/>
      <c r="I526" s="7"/>
      <c r="J526" s="7">
        <v>0</v>
      </c>
      <c r="K526" s="244"/>
      <c r="L526" s="99"/>
    </row>
    <row r="527" spans="1:35" ht="15" x14ac:dyDescent="0.25">
      <c r="A527" s="246"/>
      <c r="B527" s="241"/>
      <c r="C527" s="243"/>
      <c r="D527" s="244"/>
      <c r="E527" s="212">
        <v>2019</v>
      </c>
      <c r="F527" s="7">
        <f>SUM(G527:J527)</f>
        <v>0</v>
      </c>
      <c r="G527" s="7"/>
      <c r="H527" s="7"/>
      <c r="I527" s="7"/>
      <c r="J527" s="7">
        <v>0</v>
      </c>
      <c r="K527" s="244"/>
    </row>
    <row r="528" spans="1:35" ht="15" x14ac:dyDescent="0.25">
      <c r="A528" s="246"/>
      <c r="B528" s="241"/>
      <c r="C528" s="243"/>
      <c r="D528" s="244"/>
      <c r="E528" s="212">
        <v>2020</v>
      </c>
      <c r="F528" s="7">
        <f>SUM(G528:J528)</f>
        <v>0</v>
      </c>
      <c r="G528" s="7"/>
      <c r="H528" s="7"/>
      <c r="I528" s="7"/>
      <c r="J528" s="7">
        <v>0</v>
      </c>
      <c r="K528" s="244"/>
    </row>
    <row r="529" spans="1:14" ht="15" x14ac:dyDescent="0.25">
      <c r="A529" s="352"/>
      <c r="B529" s="249"/>
      <c r="C529" s="243"/>
      <c r="D529" s="244"/>
      <c r="E529" s="26" t="s">
        <v>18</v>
      </c>
      <c r="F529" s="9">
        <f>SUM(F526:F528)</f>
        <v>0</v>
      </c>
      <c r="G529" s="10"/>
      <c r="H529" s="10"/>
      <c r="I529" s="10"/>
      <c r="J529" s="9">
        <f>SUM(J523:J528)</f>
        <v>0</v>
      </c>
      <c r="K529" s="244"/>
    </row>
    <row r="530" spans="1:14" ht="15" x14ac:dyDescent="0.25">
      <c r="A530" s="361" t="s">
        <v>121</v>
      </c>
      <c r="B530" s="438" t="s">
        <v>217</v>
      </c>
      <c r="C530" s="242" t="s">
        <v>410</v>
      </c>
      <c r="D530" s="277" t="s">
        <v>209</v>
      </c>
      <c r="E530" s="212">
        <v>2015</v>
      </c>
      <c r="F530" s="7">
        <f t="shared" ref="F530:F535" si="93">SUM(G530:I530)</f>
        <v>1364.4</v>
      </c>
      <c r="G530" s="7"/>
      <c r="H530" s="7"/>
      <c r="I530" s="7">
        <f>1322.4+30+12</f>
        <v>1364.4</v>
      </c>
      <c r="J530" s="14"/>
      <c r="K530" s="277" t="s">
        <v>134</v>
      </c>
    </row>
    <row r="531" spans="1:14" ht="15" x14ac:dyDescent="0.25">
      <c r="A531" s="362"/>
      <c r="B531" s="279"/>
      <c r="C531" s="243"/>
      <c r="D531" s="277"/>
      <c r="E531" s="212">
        <v>2016</v>
      </c>
      <c r="F531" s="7">
        <f t="shared" si="93"/>
        <v>1322.4</v>
      </c>
      <c r="G531" s="7"/>
      <c r="H531" s="7"/>
      <c r="I531" s="7">
        <v>1322.4</v>
      </c>
      <c r="J531" s="14"/>
      <c r="K531" s="277"/>
    </row>
    <row r="532" spans="1:14" ht="15" x14ac:dyDescent="0.25">
      <c r="A532" s="362"/>
      <c r="B532" s="279"/>
      <c r="C532" s="243"/>
      <c r="D532" s="277"/>
      <c r="E532" s="212">
        <v>2017</v>
      </c>
      <c r="F532" s="7">
        <f t="shared" si="93"/>
        <v>4988.3</v>
      </c>
      <c r="G532" s="7"/>
      <c r="H532" s="7"/>
      <c r="I532" s="7">
        <f>1338.3+3116.8+533.2</f>
        <v>4988.3</v>
      </c>
      <c r="J532" s="14"/>
      <c r="K532" s="277"/>
      <c r="L532" s="99" t="s">
        <v>353</v>
      </c>
      <c r="M532" s="105"/>
      <c r="N532" s="106" t="s">
        <v>352</v>
      </c>
    </row>
    <row r="533" spans="1:14" ht="15" x14ac:dyDescent="0.25">
      <c r="A533" s="362"/>
      <c r="B533" s="279"/>
      <c r="C533" s="243"/>
      <c r="D533" s="277"/>
      <c r="E533" s="212">
        <v>2018</v>
      </c>
      <c r="F533" s="7">
        <f t="shared" si="93"/>
        <v>4768</v>
      </c>
      <c r="G533" s="7"/>
      <c r="H533" s="7"/>
      <c r="I533" s="7">
        <f>4385.6+382.4</f>
        <v>4768</v>
      </c>
      <c r="J533" s="14"/>
      <c r="K533" s="277"/>
      <c r="L533" s="99"/>
      <c r="M533" s="105"/>
      <c r="N533" s="106"/>
    </row>
    <row r="534" spans="1:14" ht="15" x14ac:dyDescent="0.25">
      <c r="A534" s="362"/>
      <c r="B534" s="279"/>
      <c r="C534" s="243"/>
      <c r="D534" s="277"/>
      <c r="E534" s="212">
        <v>2019</v>
      </c>
      <c r="F534" s="7">
        <f t="shared" ref="F534" si="94">SUM(G534:I534)</f>
        <v>7031.1</v>
      </c>
      <c r="G534" s="7"/>
      <c r="H534" s="7"/>
      <c r="I534" s="7">
        <f>5949.3+1081.8</f>
        <v>7031.1</v>
      </c>
      <c r="J534" s="14"/>
      <c r="K534" s="277"/>
      <c r="L534" s="99"/>
      <c r="M534" s="105"/>
      <c r="N534" s="106"/>
    </row>
    <row r="535" spans="1:14" ht="15" x14ac:dyDescent="0.25">
      <c r="A535" s="362"/>
      <c r="B535" s="279"/>
      <c r="C535" s="243"/>
      <c r="D535" s="277"/>
      <c r="E535" s="212">
        <v>2020</v>
      </c>
      <c r="F535" s="7">
        <f t="shared" si="93"/>
        <v>1228.9000000000001</v>
      </c>
      <c r="G535" s="7"/>
      <c r="H535" s="7"/>
      <c r="I535" s="7">
        <v>1228.9000000000001</v>
      </c>
      <c r="J535" s="14"/>
      <c r="K535" s="277"/>
    </row>
    <row r="536" spans="1:14" ht="15" x14ac:dyDescent="0.25">
      <c r="A536" s="362"/>
      <c r="B536" s="279"/>
      <c r="C536" s="243"/>
      <c r="D536" s="277"/>
      <c r="E536" s="224">
        <v>2021</v>
      </c>
      <c r="F536" s="7">
        <f t="shared" ref="F536:F538" si="95">SUM(G536:I536)</f>
        <v>115.8</v>
      </c>
      <c r="G536" s="7"/>
      <c r="H536" s="7"/>
      <c r="I536" s="7">
        <v>115.8</v>
      </c>
      <c r="J536" s="14"/>
      <c r="K536" s="277"/>
    </row>
    <row r="537" spans="1:14" ht="15" x14ac:dyDescent="0.25">
      <c r="A537" s="362"/>
      <c r="B537" s="279"/>
      <c r="C537" s="243"/>
      <c r="D537" s="277"/>
      <c r="E537" s="224">
        <v>2022</v>
      </c>
      <c r="F537" s="7">
        <f t="shared" si="95"/>
        <v>120.4</v>
      </c>
      <c r="G537" s="7"/>
      <c r="H537" s="7"/>
      <c r="I537" s="7">
        <v>120.4</v>
      </c>
      <c r="J537" s="14"/>
      <c r="K537" s="277"/>
      <c r="L537" s="99" t="s">
        <v>353</v>
      </c>
      <c r="M537" s="105"/>
      <c r="N537" s="106" t="s">
        <v>352</v>
      </c>
    </row>
    <row r="538" spans="1:14" ht="15" x14ac:dyDescent="0.25">
      <c r="A538" s="362"/>
      <c r="B538" s="279"/>
      <c r="C538" s="243"/>
      <c r="D538" s="277"/>
      <c r="E538" s="224">
        <v>2023</v>
      </c>
      <c r="F538" s="7">
        <f t="shared" si="95"/>
        <v>125.2</v>
      </c>
      <c r="G538" s="7"/>
      <c r="H538" s="7"/>
      <c r="I538" s="7">
        <v>125.2</v>
      </c>
      <c r="J538" s="14"/>
      <c r="K538" s="277"/>
      <c r="L538" s="99"/>
      <c r="M538" s="105"/>
      <c r="N538" s="106"/>
    </row>
    <row r="539" spans="1:14" ht="15" x14ac:dyDescent="0.25">
      <c r="A539" s="362"/>
      <c r="B539" s="279"/>
      <c r="C539" s="243"/>
      <c r="D539" s="277"/>
      <c r="E539" s="224">
        <v>2024</v>
      </c>
      <c r="F539" s="7">
        <f t="shared" ref="F539" si="96">SUM(G539:I539)</f>
        <v>130.19999999999999</v>
      </c>
      <c r="G539" s="7"/>
      <c r="H539" s="7"/>
      <c r="I539" s="7">
        <v>130.19999999999999</v>
      </c>
      <c r="J539" s="14"/>
      <c r="K539" s="277"/>
      <c r="L539" s="99"/>
      <c r="M539" s="105"/>
      <c r="N539" s="106"/>
    </row>
    <row r="540" spans="1:14" ht="15" x14ac:dyDescent="0.25">
      <c r="A540" s="362"/>
      <c r="B540" s="279"/>
      <c r="C540" s="243"/>
      <c r="D540" s="277"/>
      <c r="E540" s="224">
        <v>2025</v>
      </c>
      <c r="F540" s="7">
        <f t="shared" ref="F540" si="97">SUM(G540:I540)</f>
        <v>135.4</v>
      </c>
      <c r="G540" s="7"/>
      <c r="H540" s="7"/>
      <c r="I540" s="7">
        <v>135.4</v>
      </c>
      <c r="J540" s="14"/>
      <c r="K540" s="277"/>
    </row>
    <row r="541" spans="1:14" ht="29.25" customHeight="1" x14ac:dyDescent="0.25">
      <c r="A541" s="362"/>
      <c r="B541" s="279"/>
      <c r="C541" s="243"/>
      <c r="D541" s="277"/>
      <c r="E541" s="18" t="s">
        <v>18</v>
      </c>
      <c r="F541" s="8">
        <f>SUM(F530:F540)</f>
        <v>21330.100000000006</v>
      </c>
      <c r="G541" s="7"/>
      <c r="H541" s="7"/>
      <c r="I541" s="8">
        <f>SUM(I530:I540)</f>
        <v>21330.100000000006</v>
      </c>
      <c r="J541" s="14"/>
      <c r="K541" s="277"/>
    </row>
    <row r="542" spans="1:14" ht="15" x14ac:dyDescent="0.25">
      <c r="A542" s="245" t="s">
        <v>122</v>
      </c>
      <c r="B542" s="438" t="s">
        <v>213</v>
      </c>
      <c r="C542" s="234" t="s">
        <v>68</v>
      </c>
      <c r="D542" s="236" t="s">
        <v>209</v>
      </c>
      <c r="E542" s="212">
        <v>2015</v>
      </c>
      <c r="F542" s="7">
        <f>H542+I542</f>
        <v>260.60000000000002</v>
      </c>
      <c r="G542" s="7"/>
      <c r="H542" s="7">
        <v>230</v>
      </c>
      <c r="I542" s="7">
        <v>30.6</v>
      </c>
      <c r="J542" s="14"/>
      <c r="K542" s="236" t="s">
        <v>156</v>
      </c>
    </row>
    <row r="543" spans="1:14" ht="15" x14ac:dyDescent="0.25">
      <c r="A543" s="246"/>
      <c r="B543" s="279"/>
      <c r="C543" s="238"/>
      <c r="D543" s="244"/>
      <c r="E543" s="212">
        <v>2016</v>
      </c>
      <c r="F543" s="143"/>
      <c r="G543" s="7"/>
      <c r="H543" s="7"/>
      <c r="I543" s="7"/>
      <c r="J543" s="14"/>
      <c r="K543" s="244"/>
    </row>
    <row r="544" spans="1:14" ht="15" x14ac:dyDescent="0.25">
      <c r="A544" s="246"/>
      <c r="B544" s="279"/>
      <c r="C544" s="238"/>
      <c r="D544" s="244"/>
      <c r="E544" s="212">
        <v>2017</v>
      </c>
      <c r="F544" s="143"/>
      <c r="G544" s="7"/>
      <c r="H544" s="7"/>
      <c r="I544" s="7"/>
      <c r="J544" s="14"/>
      <c r="K544" s="244"/>
    </row>
    <row r="545" spans="1:35" ht="15" x14ac:dyDescent="0.25">
      <c r="A545" s="246"/>
      <c r="B545" s="279"/>
      <c r="C545" s="238"/>
      <c r="D545" s="244"/>
      <c r="E545" s="212">
        <v>2018</v>
      </c>
      <c r="F545" s="143"/>
      <c r="G545" s="7"/>
      <c r="H545" s="7"/>
      <c r="I545" s="7"/>
      <c r="J545" s="14"/>
      <c r="K545" s="244"/>
    </row>
    <row r="546" spans="1:35" ht="15" x14ac:dyDescent="0.25">
      <c r="A546" s="246"/>
      <c r="B546" s="279"/>
      <c r="C546" s="238"/>
      <c r="D546" s="244"/>
      <c r="E546" s="212">
        <v>2019</v>
      </c>
      <c r="F546" s="143"/>
      <c r="G546" s="7"/>
      <c r="H546" s="7"/>
      <c r="I546" s="7"/>
      <c r="J546" s="14"/>
      <c r="K546" s="244"/>
    </row>
    <row r="547" spans="1:35" ht="15" x14ac:dyDescent="0.25">
      <c r="A547" s="246"/>
      <c r="B547" s="279"/>
      <c r="C547" s="238"/>
      <c r="D547" s="244"/>
      <c r="E547" s="212">
        <v>2020</v>
      </c>
      <c r="F547" s="143"/>
      <c r="G547" s="7"/>
      <c r="H547" s="7"/>
      <c r="I547" s="7"/>
      <c r="J547" s="14"/>
      <c r="K547" s="244"/>
    </row>
    <row r="548" spans="1:35" ht="15" x14ac:dyDescent="0.25">
      <c r="A548" s="246"/>
      <c r="B548" s="279"/>
      <c r="C548" s="239"/>
      <c r="D548" s="237"/>
      <c r="E548" s="18" t="s">
        <v>18</v>
      </c>
      <c r="F548" s="8">
        <f>SUM(F542:F547)</f>
        <v>260.60000000000002</v>
      </c>
      <c r="G548" s="7"/>
      <c r="H548" s="8">
        <f>H547+H546+H545+H544+H542+H543</f>
        <v>230</v>
      </c>
      <c r="I548" s="8">
        <f>SUM(I542:I547)</f>
        <v>30.6</v>
      </c>
      <c r="J548" s="14"/>
      <c r="K548" s="237"/>
    </row>
    <row r="549" spans="1:35" ht="15" customHeight="1" x14ac:dyDescent="0.25">
      <c r="A549" s="273" t="s">
        <v>285</v>
      </c>
      <c r="B549" s="251" t="s">
        <v>236</v>
      </c>
      <c r="C549" s="250" t="s">
        <v>412</v>
      </c>
      <c r="D549" s="244" t="s">
        <v>209</v>
      </c>
      <c r="E549" s="213">
        <v>2016</v>
      </c>
      <c r="F549" s="7">
        <f t="shared" ref="F549:F557" si="98">G549+H549+I549</f>
        <v>445</v>
      </c>
      <c r="G549" s="154"/>
      <c r="H549" s="154"/>
      <c r="I549" s="155">
        <v>445</v>
      </c>
      <c r="J549" s="91"/>
      <c r="K549" s="244" t="s">
        <v>135</v>
      </c>
    </row>
    <row r="550" spans="1:35" ht="12.75" customHeight="1" x14ac:dyDescent="0.25">
      <c r="A550" s="273"/>
      <c r="B550" s="252"/>
      <c r="C550" s="250"/>
      <c r="D550" s="244"/>
      <c r="E550" s="212">
        <v>2017</v>
      </c>
      <c r="F550" s="7">
        <f t="shared" si="98"/>
        <v>480.6</v>
      </c>
      <c r="G550" s="9"/>
      <c r="H550" s="9"/>
      <c r="I550" s="10">
        <v>480.6</v>
      </c>
      <c r="J550" s="22"/>
      <c r="K550" s="244"/>
      <c r="L550" s="99"/>
      <c r="O550" s="99"/>
    </row>
    <row r="551" spans="1:35" ht="15" customHeight="1" x14ac:dyDescent="0.25">
      <c r="A551" s="273"/>
      <c r="B551" s="252"/>
      <c r="C551" s="250"/>
      <c r="D551" s="244"/>
      <c r="E551" s="212">
        <v>2018</v>
      </c>
      <c r="F551" s="7">
        <f t="shared" si="98"/>
        <v>480.6</v>
      </c>
      <c r="G551" s="9"/>
      <c r="H551" s="9"/>
      <c r="I551" s="10">
        <v>480.6</v>
      </c>
      <c r="J551" s="22"/>
      <c r="K551" s="244"/>
      <c r="L551" s="99"/>
    </row>
    <row r="552" spans="1:35" ht="13.5" customHeight="1" x14ac:dyDescent="0.25">
      <c r="A552" s="273"/>
      <c r="B552" s="252"/>
      <c r="C552" s="250"/>
      <c r="D552" s="244"/>
      <c r="E552" s="212">
        <v>2019</v>
      </c>
      <c r="F552" s="155">
        <f t="shared" si="98"/>
        <v>700</v>
      </c>
      <c r="G552" s="9"/>
      <c r="H552" s="9"/>
      <c r="I552" s="10">
        <v>700</v>
      </c>
      <c r="J552" s="22"/>
      <c r="K552" s="244"/>
      <c r="L552" s="99"/>
    </row>
    <row r="553" spans="1:35" ht="12.75" customHeight="1" x14ac:dyDescent="0.25">
      <c r="A553" s="273"/>
      <c r="B553" s="252"/>
      <c r="C553" s="250"/>
      <c r="D553" s="244"/>
      <c r="E553" s="212">
        <v>2020</v>
      </c>
      <c r="F553" s="10">
        <f t="shared" si="98"/>
        <v>500</v>
      </c>
      <c r="G553" s="10"/>
      <c r="H553" s="10"/>
      <c r="I553" s="10">
        <v>500</v>
      </c>
      <c r="J553" s="22"/>
      <c r="K553" s="244"/>
    </row>
    <row r="554" spans="1:35" ht="12.75" customHeight="1" x14ac:dyDescent="0.25">
      <c r="A554" s="273"/>
      <c r="B554" s="252"/>
      <c r="C554" s="250"/>
      <c r="D554" s="244"/>
      <c r="E554" s="224">
        <v>2021</v>
      </c>
      <c r="F554" s="10">
        <f t="shared" ref="F554" si="99">G554+H554+I554</f>
        <v>0</v>
      </c>
      <c r="G554" s="10"/>
      <c r="H554" s="10"/>
      <c r="I554" s="10">
        <v>0</v>
      </c>
      <c r="J554" s="22"/>
      <c r="K554" s="244"/>
    </row>
    <row r="555" spans="1:35" ht="21" customHeight="1" x14ac:dyDescent="0.2">
      <c r="A555" s="437"/>
      <c r="B555" s="253"/>
      <c r="C555" s="235"/>
      <c r="D555" s="237"/>
      <c r="E555" s="26" t="s">
        <v>18</v>
      </c>
      <c r="F555" s="9">
        <f t="shared" si="98"/>
        <v>2606.1999999999998</v>
      </c>
      <c r="G555" s="9"/>
      <c r="H555" s="9"/>
      <c r="I555" s="9">
        <f>SUM(I549:I553)</f>
        <v>2606.1999999999998</v>
      </c>
      <c r="J555" s="22"/>
      <c r="K555" s="237"/>
    </row>
    <row r="556" spans="1:35" ht="15" customHeight="1" x14ac:dyDescent="0.25">
      <c r="A556" s="273" t="s">
        <v>286</v>
      </c>
      <c r="B556" s="251" t="s">
        <v>413</v>
      </c>
      <c r="C556" s="250">
        <v>2017</v>
      </c>
      <c r="D556" s="244" t="s">
        <v>209</v>
      </c>
      <c r="E556" s="212">
        <v>2017</v>
      </c>
      <c r="F556" s="7">
        <f t="shared" si="98"/>
        <v>1169.2</v>
      </c>
      <c r="G556" s="8"/>
      <c r="H556" s="8"/>
      <c r="I556" s="7">
        <v>1169.2</v>
      </c>
      <c r="J556" s="14"/>
      <c r="K556" s="244" t="s">
        <v>257</v>
      </c>
      <c r="L556" s="99"/>
    </row>
    <row r="557" spans="1:35" ht="52.5" customHeight="1" thickBot="1" x14ac:dyDescent="0.25">
      <c r="A557" s="437"/>
      <c r="B557" s="253"/>
      <c r="C557" s="235"/>
      <c r="D557" s="237"/>
      <c r="E557" s="26" t="s">
        <v>18</v>
      </c>
      <c r="F557" s="9">
        <f t="shared" si="98"/>
        <v>1169.2</v>
      </c>
      <c r="G557" s="9"/>
      <c r="H557" s="9"/>
      <c r="I557" s="9">
        <f>SUM(I556:I556)</f>
        <v>1169.2</v>
      </c>
      <c r="J557" s="22"/>
      <c r="K557" s="237"/>
    </row>
    <row r="558" spans="1:35" ht="15" thickBot="1" x14ac:dyDescent="0.25">
      <c r="A558" s="247" t="s">
        <v>414</v>
      </c>
      <c r="B558" s="241"/>
      <c r="C558" s="241"/>
      <c r="D558" s="241"/>
      <c r="E558" s="241"/>
      <c r="F558" s="241"/>
      <c r="G558" s="241"/>
      <c r="H558" s="241"/>
      <c r="I558" s="241"/>
      <c r="J558" s="241"/>
      <c r="K558" s="241"/>
      <c r="L558" s="25"/>
      <c r="M558" s="63"/>
      <c r="N558" s="63"/>
      <c r="O558" s="63"/>
      <c r="P558" s="63"/>
      <c r="Q558" s="63"/>
      <c r="R558" s="63"/>
      <c r="S558" s="63"/>
      <c r="T558" s="63"/>
      <c r="U558" s="63"/>
      <c r="V558" s="63"/>
      <c r="W558" s="63"/>
      <c r="X558" s="63"/>
      <c r="Y558" s="63"/>
      <c r="Z558" s="63"/>
      <c r="AA558" s="63"/>
      <c r="AB558" s="63"/>
      <c r="AC558" s="63"/>
      <c r="AD558" s="63"/>
      <c r="AE558" s="63"/>
      <c r="AF558" s="63"/>
      <c r="AG558" s="63"/>
      <c r="AH558" s="63"/>
      <c r="AI558" s="64"/>
    </row>
    <row r="559" spans="1:35" ht="15" x14ac:dyDescent="0.25">
      <c r="A559" s="364" t="s">
        <v>280</v>
      </c>
      <c r="B559" s="439" t="s">
        <v>415</v>
      </c>
      <c r="C559" s="234" t="s">
        <v>416</v>
      </c>
      <c r="D559" s="236" t="s">
        <v>209</v>
      </c>
      <c r="E559" s="224">
        <v>2019</v>
      </c>
      <c r="F559" s="7">
        <f>H559+I559</f>
        <v>136.1</v>
      </c>
      <c r="G559" s="7"/>
      <c r="H559" s="7">
        <v>134.69999999999999</v>
      </c>
      <c r="I559" s="7">
        <v>1.4</v>
      </c>
      <c r="J559" s="14"/>
      <c r="K559" s="236" t="s">
        <v>417</v>
      </c>
      <c r="L559" s="28"/>
    </row>
    <row r="560" spans="1:35" ht="15" x14ac:dyDescent="0.25">
      <c r="A560" s="365"/>
      <c r="B560" s="241"/>
      <c r="C560" s="238"/>
      <c r="D560" s="244"/>
      <c r="E560" s="224">
        <v>2020</v>
      </c>
      <c r="F560" s="7">
        <f t="shared" ref="F560:F561" si="100">H560+I560</f>
        <v>0</v>
      </c>
      <c r="G560" s="7"/>
      <c r="H560" s="7">
        <v>0</v>
      </c>
      <c r="I560" s="7">
        <v>0</v>
      </c>
      <c r="J560" s="14"/>
      <c r="K560" s="244"/>
    </row>
    <row r="561" spans="1:35" ht="15" x14ac:dyDescent="0.25">
      <c r="A561" s="365"/>
      <c r="B561" s="241"/>
      <c r="C561" s="238"/>
      <c r="D561" s="244"/>
      <c r="E561" s="224">
        <v>2021</v>
      </c>
      <c r="F561" s="7">
        <f t="shared" si="100"/>
        <v>0</v>
      </c>
      <c r="G561" s="7"/>
      <c r="H561" s="7">
        <v>0</v>
      </c>
      <c r="I561" s="7">
        <v>0</v>
      </c>
      <c r="J561" s="14"/>
      <c r="K561" s="244"/>
      <c r="L561" s="99"/>
    </row>
    <row r="562" spans="1:35" ht="123" customHeight="1" thickBot="1" x14ac:dyDescent="0.3">
      <c r="A562" s="365"/>
      <c r="B562" s="241"/>
      <c r="C562" s="238"/>
      <c r="D562" s="244"/>
      <c r="E562" s="18" t="s">
        <v>18</v>
      </c>
      <c r="F562" s="8">
        <f>SUM(F559:F561)</f>
        <v>136.1</v>
      </c>
      <c r="G562" s="7"/>
      <c r="H562" s="8">
        <f>SUM(H559:H561)</f>
        <v>134.69999999999999</v>
      </c>
      <c r="I562" s="8">
        <f>SUM(I559:I561)</f>
        <v>1.4</v>
      </c>
      <c r="J562" s="8">
        <f>SUM(J559:J561)</f>
        <v>0</v>
      </c>
      <c r="K562" s="237"/>
    </row>
    <row r="563" spans="1:35" ht="13.5" customHeight="1" thickBot="1" x14ac:dyDescent="0.25">
      <c r="A563" s="518" t="s">
        <v>176</v>
      </c>
      <c r="B563" s="519"/>
      <c r="C563" s="519"/>
      <c r="D563" s="520"/>
      <c r="E563" s="6" t="s">
        <v>61</v>
      </c>
      <c r="F563" s="146">
        <f>SUM(G563:J563)</f>
        <v>712060.59999999974</v>
      </c>
      <c r="G563" s="147">
        <f>G514+G522+G529+G541</f>
        <v>0</v>
      </c>
      <c r="H563" s="146">
        <f>H514+H522+H529+H541+H500+H548+H555+H557+H562</f>
        <v>364.7</v>
      </c>
      <c r="I563" s="146">
        <f>I514+I522+I529+I541+I500+I548+I555+I557+I562</f>
        <v>711695.89999999979</v>
      </c>
      <c r="J563" s="146">
        <f>J514+J522+J529+J541+J500</f>
        <v>0</v>
      </c>
      <c r="K563" s="6"/>
      <c r="L563" s="129"/>
      <c r="M563" s="130"/>
      <c r="N563" s="65"/>
    </row>
    <row r="564" spans="1:35" ht="32.25" customHeight="1" thickBot="1" x14ac:dyDescent="0.3">
      <c r="A564" s="247" t="s">
        <v>73</v>
      </c>
      <c r="B564" s="241"/>
      <c r="C564" s="241"/>
      <c r="D564" s="241"/>
      <c r="E564" s="241"/>
      <c r="F564" s="241"/>
      <c r="G564" s="241"/>
      <c r="H564" s="241"/>
      <c r="I564" s="241"/>
      <c r="J564" s="241"/>
      <c r="K564" s="241"/>
      <c r="L564" s="66"/>
      <c r="M564" s="66"/>
      <c r="N564" s="66"/>
      <c r="O564" s="66"/>
      <c r="P564" s="66"/>
      <c r="Q564" s="66"/>
      <c r="R564" s="66"/>
      <c r="S564" s="66"/>
      <c r="T564" s="66"/>
      <c r="U564" s="66"/>
      <c r="V564" s="66"/>
      <c r="W564" s="66"/>
      <c r="X564" s="66"/>
      <c r="Y564" s="66"/>
      <c r="Z564" s="66"/>
      <c r="AA564" s="66"/>
      <c r="AB564" s="66"/>
      <c r="AC564" s="66"/>
      <c r="AD564" s="66"/>
      <c r="AE564" s="66"/>
      <c r="AF564" s="66"/>
      <c r="AG564" s="66"/>
      <c r="AH564" s="66"/>
      <c r="AI564" s="67"/>
    </row>
    <row r="565" spans="1:35" ht="17.25" customHeight="1" thickBot="1" x14ac:dyDescent="0.25">
      <c r="A565" s="248" t="s">
        <v>74</v>
      </c>
      <c r="B565" s="249"/>
      <c r="C565" s="249"/>
      <c r="D565" s="249"/>
      <c r="E565" s="249"/>
      <c r="F565" s="249"/>
      <c r="G565" s="249"/>
      <c r="H565" s="249"/>
      <c r="I565" s="249"/>
      <c r="J565" s="249"/>
      <c r="K565" s="249"/>
      <c r="L565" s="63"/>
      <c r="M565" s="63"/>
      <c r="N565" s="63"/>
      <c r="O565" s="63"/>
      <c r="P565" s="63"/>
      <c r="Q565" s="63"/>
      <c r="R565" s="63"/>
      <c r="S565" s="63"/>
      <c r="T565" s="63"/>
      <c r="U565" s="63"/>
      <c r="V565" s="63"/>
      <c r="W565" s="63"/>
      <c r="X565" s="63"/>
      <c r="Y565" s="63"/>
      <c r="Z565" s="63"/>
      <c r="AA565" s="63"/>
      <c r="AB565" s="63"/>
      <c r="AC565" s="63"/>
      <c r="AD565" s="63"/>
      <c r="AE565" s="63"/>
      <c r="AF565" s="63"/>
      <c r="AG565" s="63"/>
      <c r="AH565" s="63"/>
      <c r="AI565" s="64"/>
    </row>
    <row r="566" spans="1:35" ht="12.75" customHeight="1" x14ac:dyDescent="0.25">
      <c r="A566" s="434" t="s">
        <v>91</v>
      </c>
      <c r="B566" s="431" t="s">
        <v>157</v>
      </c>
      <c r="C566" s="234" t="s">
        <v>410</v>
      </c>
      <c r="D566" s="236" t="s">
        <v>209</v>
      </c>
      <c r="E566" s="212">
        <v>2015</v>
      </c>
      <c r="F566" s="156">
        <f t="shared" ref="F566:F571" si="101">SUM(G566:I566)</f>
        <v>25</v>
      </c>
      <c r="G566" s="7"/>
      <c r="H566" s="7"/>
      <c r="I566" s="7">
        <v>25</v>
      </c>
      <c r="J566" s="14"/>
      <c r="K566" s="236" t="s">
        <v>159</v>
      </c>
    </row>
    <row r="567" spans="1:35" ht="15" x14ac:dyDescent="0.25">
      <c r="A567" s="435"/>
      <c r="B567" s="432"/>
      <c r="C567" s="238"/>
      <c r="D567" s="238"/>
      <c r="E567" s="212">
        <v>2016</v>
      </c>
      <c r="F567" s="156">
        <f t="shared" si="101"/>
        <v>23.6</v>
      </c>
      <c r="G567" s="7"/>
      <c r="H567" s="7"/>
      <c r="I567" s="7">
        <f>26.3-2.7</f>
        <v>23.6</v>
      </c>
      <c r="J567" s="14"/>
      <c r="K567" s="244"/>
    </row>
    <row r="568" spans="1:35" ht="15" x14ac:dyDescent="0.25">
      <c r="A568" s="435"/>
      <c r="B568" s="432"/>
      <c r="C568" s="238"/>
      <c r="D568" s="238"/>
      <c r="E568" s="212">
        <v>2017</v>
      </c>
      <c r="F568" s="156">
        <f t="shared" si="101"/>
        <v>27</v>
      </c>
      <c r="G568" s="7"/>
      <c r="H568" s="7"/>
      <c r="I568" s="7">
        <v>27</v>
      </c>
      <c r="J568" s="14"/>
      <c r="K568" s="244"/>
      <c r="L568" s="99"/>
    </row>
    <row r="569" spans="1:35" ht="15" x14ac:dyDescent="0.25">
      <c r="A569" s="435"/>
      <c r="B569" s="432"/>
      <c r="C569" s="238"/>
      <c r="D569" s="238"/>
      <c r="E569" s="212">
        <v>2018</v>
      </c>
      <c r="F569" s="156">
        <f t="shared" si="101"/>
        <v>27.9</v>
      </c>
      <c r="G569" s="7"/>
      <c r="H569" s="7"/>
      <c r="I569" s="7">
        <v>27.9</v>
      </c>
      <c r="J569" s="14"/>
      <c r="K569" s="244"/>
      <c r="L569" s="99"/>
    </row>
    <row r="570" spans="1:35" ht="15" x14ac:dyDescent="0.25">
      <c r="A570" s="435"/>
      <c r="B570" s="432"/>
      <c r="C570" s="238"/>
      <c r="D570" s="238"/>
      <c r="E570" s="212">
        <v>2019</v>
      </c>
      <c r="F570" s="156">
        <f t="shared" si="101"/>
        <v>70</v>
      </c>
      <c r="G570" s="7"/>
      <c r="H570" s="7"/>
      <c r="I570" s="7">
        <v>70</v>
      </c>
      <c r="J570" s="14"/>
      <c r="K570" s="244"/>
      <c r="L570" s="99"/>
    </row>
    <row r="571" spans="1:35" ht="15" x14ac:dyDescent="0.25">
      <c r="A571" s="435"/>
      <c r="B571" s="432"/>
      <c r="C571" s="238"/>
      <c r="D571" s="238"/>
      <c r="E571" s="212">
        <v>2020</v>
      </c>
      <c r="F571" s="156">
        <f t="shared" si="101"/>
        <v>70</v>
      </c>
      <c r="G571" s="8"/>
      <c r="H571" s="8"/>
      <c r="I571" s="7">
        <v>70</v>
      </c>
      <c r="J571" s="13"/>
      <c r="K571" s="244"/>
    </row>
    <row r="572" spans="1:35" ht="15" x14ac:dyDescent="0.25">
      <c r="A572" s="435"/>
      <c r="B572" s="432"/>
      <c r="C572" s="238"/>
      <c r="D572" s="238"/>
      <c r="E572" s="224">
        <v>2021</v>
      </c>
      <c r="F572" s="156">
        <f t="shared" ref="F572:F576" si="102">SUM(G572:I572)</f>
        <v>70</v>
      </c>
      <c r="G572" s="7"/>
      <c r="H572" s="7"/>
      <c r="I572" s="7">
        <v>70</v>
      </c>
      <c r="J572" s="14"/>
      <c r="K572" s="244"/>
    </row>
    <row r="573" spans="1:35" ht="15" x14ac:dyDescent="0.25">
      <c r="A573" s="435"/>
      <c r="B573" s="432"/>
      <c r="C573" s="238"/>
      <c r="D573" s="238"/>
      <c r="E573" s="224">
        <v>2022</v>
      </c>
      <c r="F573" s="156">
        <f t="shared" si="102"/>
        <v>70</v>
      </c>
      <c r="G573" s="7"/>
      <c r="H573" s="7"/>
      <c r="I573" s="7">
        <v>70</v>
      </c>
      <c r="J573" s="14"/>
      <c r="K573" s="244"/>
      <c r="L573" s="99"/>
    </row>
    <row r="574" spans="1:35" ht="15" x14ac:dyDescent="0.25">
      <c r="A574" s="435"/>
      <c r="B574" s="432"/>
      <c r="C574" s="238"/>
      <c r="D574" s="238"/>
      <c r="E574" s="224">
        <v>2023</v>
      </c>
      <c r="F574" s="156">
        <f t="shared" si="102"/>
        <v>72.8</v>
      </c>
      <c r="G574" s="7"/>
      <c r="H574" s="7"/>
      <c r="I574" s="7">
        <v>72.8</v>
      </c>
      <c r="J574" s="14"/>
      <c r="K574" s="244"/>
      <c r="L574" s="99"/>
    </row>
    <row r="575" spans="1:35" ht="15" x14ac:dyDescent="0.25">
      <c r="A575" s="435"/>
      <c r="B575" s="432"/>
      <c r="C575" s="238"/>
      <c r="D575" s="238"/>
      <c r="E575" s="224">
        <v>2024</v>
      </c>
      <c r="F575" s="156">
        <f t="shared" si="102"/>
        <v>75.7</v>
      </c>
      <c r="G575" s="7"/>
      <c r="H575" s="7"/>
      <c r="I575" s="7">
        <v>75.7</v>
      </c>
      <c r="J575" s="14"/>
      <c r="K575" s="244"/>
      <c r="L575" s="99"/>
    </row>
    <row r="576" spans="1:35" ht="15" x14ac:dyDescent="0.25">
      <c r="A576" s="435"/>
      <c r="B576" s="432"/>
      <c r="C576" s="238"/>
      <c r="D576" s="238"/>
      <c r="E576" s="224">
        <v>2025</v>
      </c>
      <c r="F576" s="156">
        <f t="shared" si="102"/>
        <v>78.7</v>
      </c>
      <c r="G576" s="8"/>
      <c r="H576" s="8"/>
      <c r="I576" s="7">
        <v>78.7</v>
      </c>
      <c r="J576" s="13"/>
      <c r="K576" s="244"/>
    </row>
    <row r="577" spans="1:12" ht="14.25" x14ac:dyDescent="0.2">
      <c r="A577" s="436"/>
      <c r="B577" s="433"/>
      <c r="C577" s="238"/>
      <c r="D577" s="239"/>
      <c r="E577" s="18" t="s">
        <v>18</v>
      </c>
      <c r="F577" s="140">
        <f>SUM(F566:F576)</f>
        <v>610.70000000000005</v>
      </c>
      <c r="G577" s="8"/>
      <c r="H577" s="8"/>
      <c r="I577" s="8">
        <f>SUM(I566:I576)</f>
        <v>610.70000000000005</v>
      </c>
      <c r="J577" s="13"/>
      <c r="K577" s="244"/>
    </row>
    <row r="578" spans="1:12" ht="15" x14ac:dyDescent="0.25">
      <c r="A578" s="434" t="s">
        <v>67</v>
      </c>
      <c r="B578" s="431" t="s">
        <v>218</v>
      </c>
      <c r="C578" s="242" t="s">
        <v>420</v>
      </c>
      <c r="D578" s="236" t="s">
        <v>209</v>
      </c>
      <c r="E578" s="212">
        <v>2015</v>
      </c>
      <c r="F578" s="156">
        <f t="shared" ref="F578:F583" si="103">SUM(G578:I578)</f>
        <v>15</v>
      </c>
      <c r="G578" s="7"/>
      <c r="H578" s="7"/>
      <c r="I578" s="7">
        <v>15</v>
      </c>
      <c r="J578" s="14"/>
      <c r="K578" s="244"/>
    </row>
    <row r="579" spans="1:12" ht="15" x14ac:dyDescent="0.25">
      <c r="A579" s="435"/>
      <c r="B579" s="432"/>
      <c r="C579" s="243"/>
      <c r="D579" s="238"/>
      <c r="E579" s="212">
        <v>2016</v>
      </c>
      <c r="F579" s="156">
        <f t="shared" si="103"/>
        <v>15</v>
      </c>
      <c r="G579" s="7"/>
      <c r="H579" s="7"/>
      <c r="I579" s="7">
        <f>16-1</f>
        <v>15</v>
      </c>
      <c r="J579" s="14"/>
      <c r="K579" s="244"/>
    </row>
    <row r="580" spans="1:12" ht="15" x14ac:dyDescent="0.25">
      <c r="A580" s="435"/>
      <c r="B580" s="432"/>
      <c r="C580" s="243"/>
      <c r="D580" s="238"/>
      <c r="E580" s="212">
        <v>2017</v>
      </c>
      <c r="F580" s="156">
        <f t="shared" si="103"/>
        <v>16</v>
      </c>
      <c r="G580" s="7"/>
      <c r="H580" s="7"/>
      <c r="I580" s="7">
        <v>16</v>
      </c>
      <c r="J580" s="14"/>
      <c r="K580" s="244"/>
      <c r="L580" s="99"/>
    </row>
    <row r="581" spans="1:12" ht="15" x14ac:dyDescent="0.25">
      <c r="A581" s="435"/>
      <c r="B581" s="432"/>
      <c r="C581" s="243"/>
      <c r="D581" s="238"/>
      <c r="E581" s="212">
        <v>2018</v>
      </c>
      <c r="F581" s="156">
        <f t="shared" si="103"/>
        <v>0.60000000000000142</v>
      </c>
      <c r="G581" s="7"/>
      <c r="H581" s="7"/>
      <c r="I581" s="7">
        <f>19.5-18.9</f>
        <v>0.60000000000000142</v>
      </c>
      <c r="J581" s="14"/>
      <c r="K581" s="244"/>
      <c r="L581" s="99"/>
    </row>
    <row r="582" spans="1:12" ht="15" x14ac:dyDescent="0.25">
      <c r="A582" s="435"/>
      <c r="B582" s="432"/>
      <c r="C582" s="243"/>
      <c r="D582" s="238"/>
      <c r="E582" s="212">
        <v>2019</v>
      </c>
      <c r="F582" s="156">
        <f t="shared" si="103"/>
        <v>30</v>
      </c>
      <c r="G582" s="7"/>
      <c r="H582" s="7"/>
      <c r="I582" s="7">
        <v>30</v>
      </c>
      <c r="J582" s="14"/>
      <c r="K582" s="244"/>
      <c r="L582" s="99"/>
    </row>
    <row r="583" spans="1:12" ht="15" x14ac:dyDescent="0.25">
      <c r="A583" s="435"/>
      <c r="B583" s="432"/>
      <c r="C583" s="243"/>
      <c r="D583" s="238"/>
      <c r="E583" s="212">
        <v>2020</v>
      </c>
      <c r="F583" s="156">
        <f t="shared" si="103"/>
        <v>0</v>
      </c>
      <c r="G583" s="8"/>
      <c r="H583" s="8"/>
      <c r="I583" s="7">
        <v>0</v>
      </c>
      <c r="J583" s="13"/>
      <c r="K583" s="244"/>
    </row>
    <row r="584" spans="1:12" ht="15" x14ac:dyDescent="0.25">
      <c r="A584" s="435"/>
      <c r="B584" s="432"/>
      <c r="C584" s="243"/>
      <c r="D584" s="238"/>
      <c r="E584" s="224">
        <v>2021</v>
      </c>
      <c r="F584" s="156">
        <f t="shared" ref="F584" si="104">SUM(G584:I584)</f>
        <v>0</v>
      </c>
      <c r="G584" s="8"/>
      <c r="H584" s="8"/>
      <c r="I584" s="7">
        <v>0</v>
      </c>
      <c r="J584" s="13"/>
      <c r="K584" s="244"/>
    </row>
    <row r="585" spans="1:12" ht="14.25" x14ac:dyDescent="0.2">
      <c r="A585" s="436"/>
      <c r="B585" s="433"/>
      <c r="C585" s="243"/>
      <c r="D585" s="239"/>
      <c r="E585" s="18" t="s">
        <v>18</v>
      </c>
      <c r="F585" s="140">
        <f>SUM(F578:F583)</f>
        <v>76.599999999999994</v>
      </c>
      <c r="G585" s="8"/>
      <c r="H585" s="8"/>
      <c r="I585" s="8">
        <f>SUM(I578:I583)</f>
        <v>76.599999999999994</v>
      </c>
      <c r="J585" s="13"/>
      <c r="K585" s="237"/>
    </row>
    <row r="586" spans="1:12" ht="14.25" x14ac:dyDescent="0.2">
      <c r="A586" s="247" t="s">
        <v>75</v>
      </c>
      <c r="B586" s="241"/>
      <c r="C586" s="430"/>
      <c r="D586" s="241"/>
      <c r="E586" s="241"/>
      <c r="F586" s="241"/>
      <c r="G586" s="241"/>
      <c r="H586" s="241"/>
      <c r="I586" s="241"/>
      <c r="J586" s="241"/>
      <c r="K586" s="241"/>
    </row>
    <row r="587" spans="1:12" ht="15" x14ac:dyDescent="0.25">
      <c r="A587" s="426" t="s">
        <v>43</v>
      </c>
      <c r="B587" s="429" t="s">
        <v>131</v>
      </c>
      <c r="C587" s="234" t="s">
        <v>420</v>
      </c>
      <c r="D587" s="236" t="s">
        <v>209</v>
      </c>
      <c r="E587" s="212">
        <v>2015</v>
      </c>
      <c r="F587" s="156">
        <f t="shared" ref="F587:F592" si="105">SUM(G587:I587)</f>
        <v>10</v>
      </c>
      <c r="G587" s="7"/>
      <c r="H587" s="7"/>
      <c r="I587" s="7">
        <v>10</v>
      </c>
      <c r="J587" s="14"/>
      <c r="K587" s="236" t="s">
        <v>158</v>
      </c>
    </row>
    <row r="588" spans="1:12" ht="15" x14ac:dyDescent="0.25">
      <c r="A588" s="427"/>
      <c r="B588" s="344"/>
      <c r="C588" s="238"/>
      <c r="D588" s="238"/>
      <c r="E588" s="212">
        <v>2016</v>
      </c>
      <c r="F588" s="156">
        <f t="shared" si="105"/>
        <v>7.7</v>
      </c>
      <c r="G588" s="7"/>
      <c r="H588" s="7"/>
      <c r="I588" s="7">
        <f>11-3.3</f>
        <v>7.7</v>
      </c>
      <c r="J588" s="14"/>
      <c r="K588" s="244"/>
      <c r="L588" s="99"/>
    </row>
    <row r="589" spans="1:12" ht="15" x14ac:dyDescent="0.25">
      <c r="A589" s="427"/>
      <c r="B589" s="344"/>
      <c r="C589" s="238"/>
      <c r="D589" s="238"/>
      <c r="E589" s="212">
        <v>2017</v>
      </c>
      <c r="F589" s="156">
        <f t="shared" si="105"/>
        <v>8.6999999999999993</v>
      </c>
      <c r="G589" s="7"/>
      <c r="H589" s="7"/>
      <c r="I589" s="7">
        <v>8.6999999999999993</v>
      </c>
      <c r="J589" s="14"/>
      <c r="K589" s="244"/>
      <c r="L589" s="99"/>
    </row>
    <row r="590" spans="1:12" ht="15" x14ac:dyDescent="0.25">
      <c r="A590" s="427"/>
      <c r="B590" s="344"/>
      <c r="C590" s="238"/>
      <c r="D590" s="238"/>
      <c r="E590" s="212">
        <v>2018</v>
      </c>
      <c r="F590" s="156">
        <f t="shared" si="105"/>
        <v>13</v>
      </c>
      <c r="G590" s="7"/>
      <c r="H590" s="7"/>
      <c r="I590" s="7">
        <v>13</v>
      </c>
      <c r="J590" s="14"/>
      <c r="K590" s="244"/>
      <c r="L590" s="99"/>
    </row>
    <row r="591" spans="1:12" ht="15" x14ac:dyDescent="0.25">
      <c r="A591" s="427"/>
      <c r="B591" s="344"/>
      <c r="C591" s="238"/>
      <c r="D591" s="238"/>
      <c r="E591" s="212">
        <v>2019</v>
      </c>
      <c r="F591" s="156">
        <f t="shared" si="105"/>
        <v>13</v>
      </c>
      <c r="G591" s="7"/>
      <c r="H591" s="7"/>
      <c r="I591" s="7">
        <v>13</v>
      </c>
      <c r="J591" s="14"/>
      <c r="K591" s="244"/>
      <c r="L591" s="99"/>
    </row>
    <row r="592" spans="1:12" ht="15" x14ac:dyDescent="0.25">
      <c r="A592" s="427"/>
      <c r="B592" s="344"/>
      <c r="C592" s="238"/>
      <c r="D592" s="238"/>
      <c r="E592" s="212">
        <v>2020</v>
      </c>
      <c r="F592" s="156">
        <f t="shared" si="105"/>
        <v>0</v>
      </c>
      <c r="G592" s="7"/>
      <c r="H592" s="7"/>
      <c r="I592" s="7">
        <v>0</v>
      </c>
      <c r="J592" s="14"/>
      <c r="K592" s="244"/>
    </row>
    <row r="593" spans="1:13" ht="15" x14ac:dyDescent="0.25">
      <c r="A593" s="428"/>
      <c r="B593" s="335"/>
      <c r="C593" s="238"/>
      <c r="D593" s="238"/>
      <c r="E593" s="224">
        <v>2021</v>
      </c>
      <c r="F593" s="156">
        <f t="shared" ref="F593" si="106">SUM(G593:I593)</f>
        <v>0</v>
      </c>
      <c r="G593" s="7"/>
      <c r="H593" s="7"/>
      <c r="I593" s="7">
        <v>0</v>
      </c>
      <c r="J593" s="14"/>
      <c r="K593" s="244"/>
    </row>
    <row r="594" spans="1:13" ht="18" customHeight="1" thickBot="1" x14ac:dyDescent="0.25">
      <c r="A594" s="428"/>
      <c r="B594" s="335"/>
      <c r="C594" s="238"/>
      <c r="D594" s="238"/>
      <c r="E594" s="26" t="s">
        <v>18</v>
      </c>
      <c r="F594" s="146">
        <f>SUM(F587:F592)</f>
        <v>52.4</v>
      </c>
      <c r="G594" s="9"/>
      <c r="H594" s="9"/>
      <c r="I594" s="9">
        <f>SUM(I587:I592)</f>
        <v>52.4</v>
      </c>
      <c r="J594" s="22"/>
      <c r="K594" s="244"/>
      <c r="L594" s="126"/>
      <c r="M594" s="127"/>
    </row>
    <row r="595" spans="1:13" ht="18" customHeight="1" thickBot="1" x14ac:dyDescent="0.25">
      <c r="A595" s="353" t="s">
        <v>187</v>
      </c>
      <c r="B595" s="354"/>
      <c r="C595" s="354"/>
      <c r="D595" s="354"/>
      <c r="E595" s="93" t="s">
        <v>61</v>
      </c>
      <c r="F595" s="149">
        <f>F577+F594+F585</f>
        <v>739.7</v>
      </c>
      <c r="G595" s="149"/>
      <c r="H595" s="149">
        <f>H577+H594+H585</f>
        <v>0</v>
      </c>
      <c r="I595" s="149">
        <f>I577+I594+I585</f>
        <v>739.7</v>
      </c>
      <c r="J595" s="94"/>
      <c r="K595" s="95"/>
    </row>
    <row r="596" spans="1:13" ht="15" thickBot="1" x14ac:dyDescent="0.25">
      <c r="A596" s="331" t="s">
        <v>188</v>
      </c>
      <c r="B596" s="332"/>
      <c r="C596" s="332"/>
      <c r="D596" s="332"/>
      <c r="E596" s="332"/>
      <c r="F596" s="332"/>
      <c r="G596" s="332"/>
      <c r="H596" s="332"/>
      <c r="I596" s="332"/>
      <c r="J596" s="332"/>
      <c r="K596" s="333"/>
    </row>
    <row r="597" spans="1:13" ht="14.25" x14ac:dyDescent="0.2">
      <c r="A597" s="419" t="s">
        <v>76</v>
      </c>
      <c r="B597" s="420"/>
      <c r="C597" s="420"/>
      <c r="D597" s="420"/>
      <c r="E597" s="421"/>
      <c r="F597" s="421"/>
      <c r="G597" s="421"/>
      <c r="H597" s="421"/>
      <c r="I597" s="421"/>
      <c r="J597" s="421"/>
      <c r="K597" s="422"/>
    </row>
    <row r="598" spans="1:13" ht="15" x14ac:dyDescent="0.25">
      <c r="A598" s="337" t="s">
        <v>77</v>
      </c>
      <c r="B598" s="240" t="s">
        <v>78</v>
      </c>
      <c r="C598" s="234" t="s">
        <v>410</v>
      </c>
      <c r="D598" s="236" t="s">
        <v>209</v>
      </c>
      <c r="E598" s="212">
        <v>2015</v>
      </c>
      <c r="F598" s="156">
        <f t="shared" ref="F598:F603" si="107">SUM(G598:I598)</f>
        <v>50</v>
      </c>
      <c r="G598" s="7"/>
      <c r="H598" s="7"/>
      <c r="I598" s="7">
        <v>50</v>
      </c>
      <c r="J598" s="14"/>
      <c r="K598" s="236" t="s">
        <v>161</v>
      </c>
    </row>
    <row r="599" spans="1:13" ht="15" x14ac:dyDescent="0.25">
      <c r="A599" s="338"/>
      <c r="B599" s="241"/>
      <c r="C599" s="238"/>
      <c r="D599" s="238"/>
      <c r="E599" s="212">
        <v>2016</v>
      </c>
      <c r="F599" s="156">
        <f t="shared" si="107"/>
        <v>83</v>
      </c>
      <c r="G599" s="7"/>
      <c r="H599" s="7"/>
      <c r="I599" s="7">
        <f>60+23</f>
        <v>83</v>
      </c>
      <c r="J599" s="14"/>
      <c r="K599" s="244"/>
      <c r="L599" s="99"/>
    </row>
    <row r="600" spans="1:13" ht="15" x14ac:dyDescent="0.25">
      <c r="A600" s="338"/>
      <c r="B600" s="241"/>
      <c r="C600" s="238"/>
      <c r="D600" s="238"/>
      <c r="E600" s="212">
        <v>2017</v>
      </c>
      <c r="F600" s="156">
        <f t="shared" si="107"/>
        <v>70</v>
      </c>
      <c r="G600" s="7"/>
      <c r="H600" s="7"/>
      <c r="I600" s="7">
        <v>70</v>
      </c>
      <c r="J600" s="14"/>
      <c r="K600" s="244"/>
      <c r="L600" s="99"/>
    </row>
    <row r="601" spans="1:13" ht="15" x14ac:dyDescent="0.25">
      <c r="A601" s="338"/>
      <c r="B601" s="241"/>
      <c r="C601" s="238"/>
      <c r="D601" s="238"/>
      <c r="E601" s="212">
        <v>2018</v>
      </c>
      <c r="F601" s="156">
        <f t="shared" si="107"/>
        <v>96.2</v>
      </c>
      <c r="G601" s="7"/>
      <c r="H601" s="7"/>
      <c r="I601" s="7">
        <v>96.2</v>
      </c>
      <c r="J601" s="14"/>
      <c r="K601" s="244"/>
      <c r="L601" s="99"/>
    </row>
    <row r="602" spans="1:13" ht="15" x14ac:dyDescent="0.25">
      <c r="A602" s="338"/>
      <c r="B602" s="241"/>
      <c r="C602" s="238"/>
      <c r="D602" s="238"/>
      <c r="E602" s="212">
        <v>2019</v>
      </c>
      <c r="F602" s="156">
        <f t="shared" si="107"/>
        <v>165</v>
      </c>
      <c r="G602" s="7"/>
      <c r="H602" s="7"/>
      <c r="I602" s="7">
        <v>165</v>
      </c>
      <c r="J602" s="14"/>
      <c r="K602" s="244"/>
      <c r="L602" s="99"/>
    </row>
    <row r="603" spans="1:13" ht="15" x14ac:dyDescent="0.25">
      <c r="A603" s="338"/>
      <c r="B603" s="241"/>
      <c r="C603" s="238"/>
      <c r="D603" s="238"/>
      <c r="E603" s="212">
        <v>2020</v>
      </c>
      <c r="F603" s="156">
        <f t="shared" si="107"/>
        <v>83</v>
      </c>
      <c r="G603" s="7"/>
      <c r="H603" s="7"/>
      <c r="I603" s="7">
        <v>83</v>
      </c>
      <c r="J603" s="14"/>
      <c r="K603" s="244"/>
    </row>
    <row r="604" spans="1:13" ht="15" x14ac:dyDescent="0.25">
      <c r="A604" s="338"/>
      <c r="B604" s="249"/>
      <c r="C604" s="238"/>
      <c r="D604" s="238"/>
      <c r="E604" s="224">
        <v>2021</v>
      </c>
      <c r="F604" s="156">
        <f t="shared" ref="F604:F607" si="108">SUM(G604:I604)</f>
        <v>80</v>
      </c>
      <c r="G604" s="7"/>
      <c r="H604" s="7"/>
      <c r="I604" s="7">
        <v>80</v>
      </c>
      <c r="J604" s="14"/>
      <c r="K604" s="244"/>
      <c r="L604" s="99"/>
    </row>
    <row r="605" spans="1:13" ht="15" x14ac:dyDescent="0.25">
      <c r="A605" s="338"/>
      <c r="B605" s="249"/>
      <c r="C605" s="238"/>
      <c r="D605" s="238"/>
      <c r="E605" s="224">
        <v>2022</v>
      </c>
      <c r="F605" s="156">
        <f t="shared" si="108"/>
        <v>80</v>
      </c>
      <c r="G605" s="7"/>
      <c r="H605" s="7"/>
      <c r="I605" s="7">
        <v>80</v>
      </c>
      <c r="J605" s="14"/>
      <c r="K605" s="244"/>
      <c r="L605" s="99"/>
    </row>
    <row r="606" spans="1:13" ht="15" x14ac:dyDescent="0.25">
      <c r="A606" s="338"/>
      <c r="B606" s="249"/>
      <c r="C606" s="238"/>
      <c r="D606" s="238"/>
      <c r="E606" s="224">
        <v>2023</v>
      </c>
      <c r="F606" s="156">
        <f t="shared" si="108"/>
        <v>83.2</v>
      </c>
      <c r="G606" s="7"/>
      <c r="H606" s="7"/>
      <c r="I606" s="7">
        <v>83.2</v>
      </c>
      <c r="J606" s="14"/>
      <c r="K606" s="244"/>
      <c r="L606" s="99"/>
    </row>
    <row r="607" spans="1:13" ht="15" x14ac:dyDescent="0.25">
      <c r="A607" s="338"/>
      <c r="B607" s="249"/>
      <c r="C607" s="238"/>
      <c r="D607" s="238"/>
      <c r="E607" s="224">
        <v>2024</v>
      </c>
      <c r="F607" s="156">
        <f t="shared" si="108"/>
        <v>86.5</v>
      </c>
      <c r="G607" s="7"/>
      <c r="H607" s="7"/>
      <c r="I607" s="7">
        <v>86.5</v>
      </c>
      <c r="J607" s="14"/>
      <c r="K607" s="244"/>
      <c r="L607" s="99"/>
    </row>
    <row r="608" spans="1:13" ht="15" x14ac:dyDescent="0.25">
      <c r="A608" s="338"/>
      <c r="B608" s="249"/>
      <c r="C608" s="238"/>
      <c r="D608" s="238"/>
      <c r="E608" s="224">
        <v>2025</v>
      </c>
      <c r="F608" s="156">
        <f t="shared" ref="F608" si="109">SUM(G608:I608)</f>
        <v>90</v>
      </c>
      <c r="G608" s="7"/>
      <c r="H608" s="7"/>
      <c r="I608" s="7">
        <v>90</v>
      </c>
      <c r="J608" s="14"/>
      <c r="K608" s="244"/>
      <c r="L608" s="99"/>
    </row>
    <row r="609" spans="1:12" ht="14.25" x14ac:dyDescent="0.2">
      <c r="A609" s="338"/>
      <c r="B609" s="249"/>
      <c r="C609" s="238"/>
      <c r="D609" s="239"/>
      <c r="E609" s="26" t="s">
        <v>18</v>
      </c>
      <c r="F609" s="140">
        <f>SUM(F598:F608)</f>
        <v>966.90000000000009</v>
      </c>
      <c r="G609" s="8"/>
      <c r="H609" s="8"/>
      <c r="I609" s="8">
        <f>SUM(I598:I608)</f>
        <v>966.90000000000009</v>
      </c>
      <c r="J609" s="14"/>
      <c r="K609" s="244"/>
    </row>
    <row r="610" spans="1:12" ht="15" x14ac:dyDescent="0.25">
      <c r="A610" s="337" t="s">
        <v>79</v>
      </c>
      <c r="B610" s="240" t="s">
        <v>80</v>
      </c>
      <c r="C610" s="242" t="s">
        <v>68</v>
      </c>
      <c r="D610" s="236" t="s">
        <v>209</v>
      </c>
      <c r="E610" s="212">
        <v>2015</v>
      </c>
      <c r="F610" s="157">
        <f t="shared" ref="F610:F615" si="110">SUM(G610:I610)</f>
        <v>150</v>
      </c>
      <c r="G610" s="7"/>
      <c r="H610" s="7"/>
      <c r="I610" s="7">
        <v>150</v>
      </c>
      <c r="J610" s="14"/>
      <c r="K610" s="244"/>
    </row>
    <row r="611" spans="1:12" ht="15" x14ac:dyDescent="0.25">
      <c r="A611" s="338"/>
      <c r="B611" s="240"/>
      <c r="C611" s="243"/>
      <c r="D611" s="238"/>
      <c r="E611" s="212">
        <v>2016</v>
      </c>
      <c r="F611" s="157">
        <f t="shared" si="110"/>
        <v>180</v>
      </c>
      <c r="G611" s="7"/>
      <c r="H611" s="7"/>
      <c r="I611" s="7">
        <v>180</v>
      </c>
      <c r="J611" s="14"/>
      <c r="K611" s="244"/>
    </row>
    <row r="612" spans="1:12" ht="15" x14ac:dyDescent="0.25">
      <c r="A612" s="338"/>
      <c r="B612" s="240"/>
      <c r="C612" s="243"/>
      <c r="D612" s="238"/>
      <c r="E612" s="212">
        <v>2017</v>
      </c>
      <c r="F612" s="157">
        <f t="shared" si="110"/>
        <v>0</v>
      </c>
      <c r="G612" s="7"/>
      <c r="H612" s="7"/>
      <c r="I612" s="7">
        <v>0</v>
      </c>
      <c r="J612" s="14"/>
      <c r="K612" s="244"/>
      <c r="L612" s="99"/>
    </row>
    <row r="613" spans="1:12" ht="15" x14ac:dyDescent="0.25">
      <c r="A613" s="338"/>
      <c r="B613" s="240"/>
      <c r="C613" s="243"/>
      <c r="D613" s="238"/>
      <c r="E613" s="212">
        <v>2018</v>
      </c>
      <c r="F613" s="157">
        <f t="shared" si="110"/>
        <v>0</v>
      </c>
      <c r="G613" s="7"/>
      <c r="H613" s="7"/>
      <c r="I613" s="7">
        <v>0</v>
      </c>
      <c r="J613" s="14"/>
      <c r="K613" s="244"/>
      <c r="L613" s="99"/>
    </row>
    <row r="614" spans="1:12" ht="15" x14ac:dyDescent="0.25">
      <c r="A614" s="338"/>
      <c r="B614" s="240"/>
      <c r="C614" s="243"/>
      <c r="D614" s="238"/>
      <c r="E614" s="212">
        <v>2019</v>
      </c>
      <c r="F614" s="157">
        <f t="shared" si="110"/>
        <v>0</v>
      </c>
      <c r="G614" s="7"/>
      <c r="H614" s="7"/>
      <c r="I614" s="7">
        <v>0</v>
      </c>
      <c r="J614" s="14"/>
      <c r="K614" s="244"/>
      <c r="L614" s="99"/>
    </row>
    <row r="615" spans="1:12" ht="15" x14ac:dyDescent="0.25">
      <c r="A615" s="338"/>
      <c r="B615" s="240"/>
      <c r="C615" s="243"/>
      <c r="D615" s="238"/>
      <c r="E615" s="212">
        <v>2020</v>
      </c>
      <c r="F615" s="157">
        <f t="shared" si="110"/>
        <v>0</v>
      </c>
      <c r="G615" s="7"/>
      <c r="H615" s="7"/>
      <c r="I615" s="7">
        <v>0</v>
      </c>
      <c r="J615" s="14"/>
      <c r="K615" s="244"/>
    </row>
    <row r="616" spans="1:12" ht="32.25" customHeight="1" x14ac:dyDescent="0.2">
      <c r="A616" s="338"/>
      <c r="B616" s="249"/>
      <c r="C616" s="243"/>
      <c r="D616" s="239"/>
      <c r="E616" s="18" t="s">
        <v>18</v>
      </c>
      <c r="F616" s="158">
        <f>SUM(F610:F615)</f>
        <v>330</v>
      </c>
      <c r="G616" s="8"/>
      <c r="H616" s="8"/>
      <c r="I616" s="8">
        <f>SUM(I610:I615)</f>
        <v>330</v>
      </c>
      <c r="J616" s="14"/>
      <c r="K616" s="244"/>
    </row>
    <row r="617" spans="1:12" ht="15" x14ac:dyDescent="0.25">
      <c r="A617" s="337" t="s">
        <v>81</v>
      </c>
      <c r="B617" s="240" t="s">
        <v>160</v>
      </c>
      <c r="C617" s="250" t="s">
        <v>420</v>
      </c>
      <c r="D617" s="236" t="s">
        <v>209</v>
      </c>
      <c r="E617" s="212">
        <v>2015</v>
      </c>
      <c r="F617" s="157">
        <f t="shared" ref="F617:F622" si="111">SUM(G617:I617)</f>
        <v>55</v>
      </c>
      <c r="G617" s="7"/>
      <c r="H617" s="7"/>
      <c r="I617" s="7">
        <v>55</v>
      </c>
      <c r="J617" s="14"/>
      <c r="K617" s="244"/>
    </row>
    <row r="618" spans="1:12" ht="15" x14ac:dyDescent="0.25">
      <c r="A618" s="338"/>
      <c r="B618" s="240"/>
      <c r="C618" s="238"/>
      <c r="D618" s="238"/>
      <c r="E618" s="212">
        <v>2016</v>
      </c>
      <c r="F618" s="157">
        <f t="shared" si="111"/>
        <v>57.4</v>
      </c>
      <c r="G618" s="7"/>
      <c r="H618" s="7"/>
      <c r="I618" s="7">
        <f>60-2.6</f>
        <v>57.4</v>
      </c>
      <c r="J618" s="14"/>
      <c r="K618" s="244"/>
      <c r="L618" s="99"/>
    </row>
    <row r="619" spans="1:12" ht="15" x14ac:dyDescent="0.25">
      <c r="A619" s="338"/>
      <c r="B619" s="240"/>
      <c r="C619" s="238"/>
      <c r="D619" s="238"/>
      <c r="E619" s="212">
        <v>2017</v>
      </c>
      <c r="F619" s="157">
        <f t="shared" si="111"/>
        <v>65</v>
      </c>
      <c r="G619" s="7"/>
      <c r="H619" s="7"/>
      <c r="I619" s="7">
        <v>65</v>
      </c>
      <c r="J619" s="14"/>
      <c r="K619" s="244"/>
      <c r="L619" s="99"/>
    </row>
    <row r="620" spans="1:12" ht="15" x14ac:dyDescent="0.25">
      <c r="A620" s="338"/>
      <c r="B620" s="240"/>
      <c r="C620" s="238"/>
      <c r="D620" s="238"/>
      <c r="E620" s="212">
        <v>2018</v>
      </c>
      <c r="F620" s="157">
        <f t="shared" si="111"/>
        <v>70</v>
      </c>
      <c r="G620" s="7"/>
      <c r="H620" s="7"/>
      <c r="I620" s="7">
        <v>70</v>
      </c>
      <c r="J620" s="14"/>
      <c r="K620" s="244"/>
      <c r="L620" s="99"/>
    </row>
    <row r="621" spans="1:12" ht="15" x14ac:dyDescent="0.25">
      <c r="A621" s="338"/>
      <c r="B621" s="240"/>
      <c r="C621" s="238"/>
      <c r="D621" s="238"/>
      <c r="E621" s="212">
        <v>2019</v>
      </c>
      <c r="F621" s="157">
        <f t="shared" si="111"/>
        <v>0</v>
      </c>
      <c r="G621" s="7"/>
      <c r="H621" s="7"/>
      <c r="I621" s="7">
        <v>0</v>
      </c>
      <c r="J621" s="14"/>
      <c r="K621" s="244"/>
      <c r="L621" s="99"/>
    </row>
    <row r="622" spans="1:12" ht="15" x14ac:dyDescent="0.25">
      <c r="A622" s="338"/>
      <c r="B622" s="240"/>
      <c r="C622" s="238"/>
      <c r="D622" s="238"/>
      <c r="E622" s="212">
        <v>2020</v>
      </c>
      <c r="F622" s="157">
        <f t="shared" si="111"/>
        <v>0</v>
      </c>
      <c r="G622" s="7"/>
      <c r="H622" s="7"/>
      <c r="I622" s="7">
        <v>0</v>
      </c>
      <c r="J622" s="14"/>
      <c r="K622" s="244"/>
    </row>
    <row r="623" spans="1:12" ht="15" x14ac:dyDescent="0.25">
      <c r="A623" s="338"/>
      <c r="B623" s="251"/>
      <c r="C623" s="238"/>
      <c r="D623" s="238"/>
      <c r="E623" s="224">
        <v>2021</v>
      </c>
      <c r="F623" s="157">
        <f t="shared" ref="F623" si="112">SUM(G623:I623)</f>
        <v>0</v>
      </c>
      <c r="G623" s="7"/>
      <c r="H623" s="7"/>
      <c r="I623" s="7">
        <v>0</v>
      </c>
      <c r="J623" s="14"/>
      <c r="K623" s="244"/>
    </row>
    <row r="624" spans="1:12" ht="14.25" x14ac:dyDescent="0.2">
      <c r="A624" s="338"/>
      <c r="B624" s="251"/>
      <c r="C624" s="238"/>
      <c r="D624" s="239"/>
      <c r="E624" s="18" t="s">
        <v>18</v>
      </c>
      <c r="F624" s="159">
        <f>SUM(F617:F622)</f>
        <v>247.4</v>
      </c>
      <c r="G624" s="8"/>
      <c r="H624" s="8"/>
      <c r="I624" s="8">
        <f>SUM(I617:I622)</f>
        <v>247.4</v>
      </c>
      <c r="J624" s="14"/>
      <c r="K624" s="237"/>
    </row>
    <row r="625" spans="1:13" ht="15" x14ac:dyDescent="0.25">
      <c r="A625" s="337" t="s">
        <v>82</v>
      </c>
      <c r="B625" s="240" t="s">
        <v>83</v>
      </c>
      <c r="C625" s="242" t="s">
        <v>420</v>
      </c>
      <c r="D625" s="236" t="s">
        <v>209</v>
      </c>
      <c r="E625" s="212">
        <v>2015</v>
      </c>
      <c r="F625" s="157">
        <f t="shared" ref="F625:F630" si="113">SUM(G625:I625)</f>
        <v>50</v>
      </c>
      <c r="G625" s="7"/>
      <c r="H625" s="7"/>
      <c r="I625" s="7">
        <v>50</v>
      </c>
      <c r="J625" s="14"/>
      <c r="K625" s="236" t="s">
        <v>162</v>
      </c>
    </row>
    <row r="626" spans="1:13" ht="15" x14ac:dyDescent="0.25">
      <c r="A626" s="338"/>
      <c r="B626" s="241"/>
      <c r="C626" s="243"/>
      <c r="D626" s="238"/>
      <c r="E626" s="212">
        <v>2016</v>
      </c>
      <c r="F626" s="157">
        <f t="shared" si="113"/>
        <v>32</v>
      </c>
      <c r="G626" s="7"/>
      <c r="H626" s="7"/>
      <c r="I626" s="7">
        <f>55-23</f>
        <v>32</v>
      </c>
      <c r="J626" s="14"/>
      <c r="K626" s="244"/>
      <c r="L626" s="99"/>
    </row>
    <row r="627" spans="1:13" ht="15" x14ac:dyDescent="0.25">
      <c r="A627" s="338"/>
      <c r="B627" s="241"/>
      <c r="C627" s="243"/>
      <c r="D627" s="238"/>
      <c r="E627" s="212">
        <v>2017</v>
      </c>
      <c r="F627" s="157">
        <f t="shared" si="113"/>
        <v>41.4</v>
      </c>
      <c r="G627" s="7"/>
      <c r="H627" s="7"/>
      <c r="I627" s="7">
        <v>41.4</v>
      </c>
      <c r="J627" s="14"/>
      <c r="K627" s="244"/>
      <c r="L627" s="99"/>
    </row>
    <row r="628" spans="1:13" ht="15" x14ac:dyDescent="0.25">
      <c r="A628" s="338"/>
      <c r="B628" s="241"/>
      <c r="C628" s="243"/>
      <c r="D628" s="238"/>
      <c r="E628" s="212">
        <v>2018</v>
      </c>
      <c r="F628" s="157">
        <f t="shared" si="113"/>
        <v>60.2</v>
      </c>
      <c r="G628" s="7"/>
      <c r="H628" s="7"/>
      <c r="I628" s="7">
        <f>65-4.8</f>
        <v>60.2</v>
      </c>
      <c r="J628" s="14"/>
      <c r="K628" s="244"/>
      <c r="L628" s="99"/>
    </row>
    <row r="629" spans="1:13" ht="15" x14ac:dyDescent="0.25">
      <c r="A629" s="338"/>
      <c r="B629" s="241"/>
      <c r="C629" s="243"/>
      <c r="D629" s="238"/>
      <c r="E629" s="212">
        <v>2019</v>
      </c>
      <c r="F629" s="157">
        <f t="shared" si="113"/>
        <v>0</v>
      </c>
      <c r="G629" s="7"/>
      <c r="H629" s="7"/>
      <c r="I629" s="7">
        <v>0</v>
      </c>
      <c r="J629" s="14"/>
      <c r="K629" s="244"/>
      <c r="L629" s="99"/>
    </row>
    <row r="630" spans="1:13" ht="15" x14ac:dyDescent="0.25">
      <c r="A630" s="338"/>
      <c r="B630" s="241"/>
      <c r="C630" s="243"/>
      <c r="D630" s="238"/>
      <c r="E630" s="212">
        <v>2020</v>
      </c>
      <c r="F630" s="157">
        <f t="shared" si="113"/>
        <v>0</v>
      </c>
      <c r="G630" s="7"/>
      <c r="H630" s="7"/>
      <c r="I630" s="7">
        <v>0</v>
      </c>
      <c r="J630" s="14"/>
      <c r="K630" s="244"/>
    </row>
    <row r="631" spans="1:13" ht="15" x14ac:dyDescent="0.25">
      <c r="A631" s="338"/>
      <c r="B631" s="241"/>
      <c r="C631" s="243"/>
      <c r="D631" s="238"/>
      <c r="E631" s="224">
        <v>2021</v>
      </c>
      <c r="F631" s="157">
        <f t="shared" ref="F631" si="114">SUM(G631:I631)</f>
        <v>0</v>
      </c>
      <c r="G631" s="7"/>
      <c r="H631" s="7"/>
      <c r="I631" s="7">
        <v>0</v>
      </c>
      <c r="J631" s="14"/>
      <c r="K631" s="244"/>
    </row>
    <row r="632" spans="1:13" ht="15" x14ac:dyDescent="0.25">
      <c r="A632" s="338"/>
      <c r="B632" s="241"/>
      <c r="C632" s="243"/>
      <c r="D632" s="239"/>
      <c r="E632" s="18" t="s">
        <v>18</v>
      </c>
      <c r="F632" s="159">
        <f>SUM(F625:F630)</f>
        <v>183.60000000000002</v>
      </c>
      <c r="G632" s="7"/>
      <c r="H632" s="7"/>
      <c r="I632" s="8">
        <f>SUM(I625:I630)</f>
        <v>183.60000000000002</v>
      </c>
      <c r="J632" s="14"/>
      <c r="K632" s="237"/>
    </row>
    <row r="633" spans="1:13" ht="16.5" customHeight="1" thickBot="1" x14ac:dyDescent="0.25">
      <c r="A633" s="334" t="s">
        <v>189</v>
      </c>
      <c r="B633" s="335"/>
      <c r="C633" s="336"/>
      <c r="D633" s="335"/>
      <c r="E633" s="6" t="s">
        <v>61</v>
      </c>
      <c r="F633" s="146">
        <f>F609+F616+F624+F632</f>
        <v>1727.9</v>
      </c>
      <c r="G633" s="146"/>
      <c r="H633" s="146">
        <f>H609+H616+H624+H632</f>
        <v>0</v>
      </c>
      <c r="I633" s="146">
        <f>I609+I616+I624+I632</f>
        <v>1727.9</v>
      </c>
      <c r="J633" s="17"/>
      <c r="K633" s="6"/>
      <c r="L633" s="126"/>
      <c r="M633" s="127"/>
    </row>
    <row r="634" spans="1:13" ht="15" thickBot="1" x14ac:dyDescent="0.25">
      <c r="A634" s="331" t="s">
        <v>190</v>
      </c>
      <c r="B634" s="332"/>
      <c r="C634" s="332"/>
      <c r="D634" s="332"/>
      <c r="E634" s="332"/>
      <c r="F634" s="332"/>
      <c r="G634" s="332"/>
      <c r="H634" s="332"/>
      <c r="I634" s="332"/>
      <c r="J634" s="332"/>
      <c r="K634" s="333"/>
    </row>
    <row r="635" spans="1:13" ht="12.75" customHeight="1" x14ac:dyDescent="0.25">
      <c r="A635" s="339" t="s">
        <v>146</v>
      </c>
      <c r="B635" s="258" t="s">
        <v>84</v>
      </c>
      <c r="C635" s="234" t="s">
        <v>410</v>
      </c>
      <c r="D635" s="236" t="s">
        <v>209</v>
      </c>
      <c r="E635" s="212">
        <v>2015</v>
      </c>
      <c r="F635" s="157">
        <f t="shared" ref="F635:F640" si="115">SUM(G635:I635)</f>
        <v>3623.3</v>
      </c>
      <c r="G635" s="7"/>
      <c r="H635" s="7">
        <f>3817-230</f>
        <v>3587</v>
      </c>
      <c r="I635" s="7">
        <f>38.6-2.3</f>
        <v>36.300000000000004</v>
      </c>
      <c r="J635" s="14"/>
      <c r="K635" s="236" t="s">
        <v>163</v>
      </c>
    </row>
    <row r="636" spans="1:13" ht="15" x14ac:dyDescent="0.25">
      <c r="A636" s="340"/>
      <c r="B636" s="342"/>
      <c r="C636" s="238"/>
      <c r="D636" s="238"/>
      <c r="E636" s="212">
        <v>2016</v>
      </c>
      <c r="F636" s="157">
        <f t="shared" si="115"/>
        <v>27.8</v>
      </c>
      <c r="G636" s="7"/>
      <c r="H636" s="7">
        <v>0</v>
      </c>
      <c r="I636" s="7">
        <v>27.8</v>
      </c>
      <c r="J636" s="14"/>
      <c r="K636" s="244"/>
    </row>
    <row r="637" spans="1:13" ht="15" x14ac:dyDescent="0.25">
      <c r="A637" s="340"/>
      <c r="B637" s="342"/>
      <c r="C637" s="238"/>
      <c r="D637" s="238"/>
      <c r="E637" s="212">
        <v>2017</v>
      </c>
      <c r="F637" s="157">
        <f t="shared" si="115"/>
        <v>0</v>
      </c>
      <c r="G637" s="7"/>
      <c r="H637" s="7">
        <v>0</v>
      </c>
      <c r="I637" s="7">
        <v>0</v>
      </c>
      <c r="J637" s="14"/>
      <c r="K637" s="244"/>
      <c r="L637" s="99"/>
    </row>
    <row r="638" spans="1:13" ht="15" x14ac:dyDescent="0.25">
      <c r="A638" s="340"/>
      <c r="B638" s="342"/>
      <c r="C638" s="238"/>
      <c r="D638" s="238"/>
      <c r="E638" s="212">
        <v>2018</v>
      </c>
      <c r="F638" s="157">
        <f t="shared" si="115"/>
        <v>0</v>
      </c>
      <c r="G638" s="7"/>
      <c r="H638" s="7">
        <f>1605-1605</f>
        <v>0</v>
      </c>
      <c r="I638" s="7">
        <v>0</v>
      </c>
      <c r="J638" s="14"/>
      <c r="K638" s="244"/>
      <c r="L638" s="99"/>
    </row>
    <row r="639" spans="1:13" ht="15" x14ac:dyDescent="0.25">
      <c r="A639" s="340"/>
      <c r="B639" s="342"/>
      <c r="C639" s="238"/>
      <c r="D639" s="238"/>
      <c r="E639" s="212">
        <v>2019</v>
      </c>
      <c r="F639" s="157">
        <f t="shared" si="115"/>
        <v>8080.8</v>
      </c>
      <c r="G639" s="7"/>
      <c r="H639" s="7">
        <v>8000</v>
      </c>
      <c r="I639" s="7">
        <v>80.8</v>
      </c>
      <c r="J639" s="14"/>
      <c r="K639" s="244"/>
      <c r="L639" s="99"/>
    </row>
    <row r="640" spans="1:13" ht="15" x14ac:dyDescent="0.25">
      <c r="A640" s="340"/>
      <c r="B640" s="342"/>
      <c r="C640" s="238"/>
      <c r="D640" s="238"/>
      <c r="E640" s="212">
        <v>2020</v>
      </c>
      <c r="F640" s="157">
        <f t="shared" si="115"/>
        <v>2424.3000000000002</v>
      </c>
      <c r="G640" s="7"/>
      <c r="H640" s="7">
        <v>2400</v>
      </c>
      <c r="I640" s="7">
        <v>24.3</v>
      </c>
      <c r="J640" s="14"/>
      <c r="K640" s="244"/>
    </row>
    <row r="641" spans="1:13" ht="15" x14ac:dyDescent="0.25">
      <c r="A641" s="340"/>
      <c r="B641" s="342"/>
      <c r="C641" s="238"/>
      <c r="D641" s="238"/>
      <c r="E641" s="224">
        <v>2021</v>
      </c>
      <c r="F641" s="157">
        <f t="shared" ref="F641:F644" si="116">SUM(G641:I641)</f>
        <v>2424.3000000000002</v>
      </c>
      <c r="G641" s="7"/>
      <c r="H641" s="7">
        <v>2400</v>
      </c>
      <c r="I641" s="7">
        <v>24.3</v>
      </c>
      <c r="J641" s="14"/>
      <c r="K641" s="244"/>
      <c r="L641" s="99"/>
    </row>
    <row r="642" spans="1:13" ht="15" x14ac:dyDescent="0.25">
      <c r="A642" s="340"/>
      <c r="B642" s="342"/>
      <c r="C642" s="238"/>
      <c r="D642" s="238"/>
      <c r="E642" s="224">
        <v>2022</v>
      </c>
      <c r="F642" s="157">
        <f t="shared" si="116"/>
        <v>2424.3000000000002</v>
      </c>
      <c r="G642" s="7"/>
      <c r="H642" s="7">
        <v>2400</v>
      </c>
      <c r="I642" s="7">
        <v>24.3</v>
      </c>
      <c r="J642" s="14"/>
      <c r="K642" s="244"/>
      <c r="L642" s="99"/>
    </row>
    <row r="643" spans="1:13" ht="15" x14ac:dyDescent="0.25">
      <c r="A643" s="340"/>
      <c r="B643" s="342"/>
      <c r="C643" s="238"/>
      <c r="D643" s="238"/>
      <c r="E643" s="224">
        <v>2023</v>
      </c>
      <c r="F643" s="157">
        <f t="shared" si="116"/>
        <v>2535.3000000000002</v>
      </c>
      <c r="G643" s="7"/>
      <c r="H643" s="7">
        <v>2510</v>
      </c>
      <c r="I643" s="7">
        <v>25.3</v>
      </c>
      <c r="J643" s="14"/>
      <c r="K643" s="244"/>
      <c r="L643" s="99"/>
    </row>
    <row r="644" spans="1:13" ht="15" x14ac:dyDescent="0.25">
      <c r="A644" s="340"/>
      <c r="B644" s="342"/>
      <c r="C644" s="238"/>
      <c r="D644" s="238"/>
      <c r="E644" s="224">
        <v>2024</v>
      </c>
      <c r="F644" s="157">
        <f t="shared" si="116"/>
        <v>2637.3</v>
      </c>
      <c r="G644" s="7"/>
      <c r="H644" s="7">
        <v>2611</v>
      </c>
      <c r="I644" s="7">
        <v>26.3</v>
      </c>
      <c r="J644" s="14"/>
      <c r="K644" s="244"/>
    </row>
    <row r="645" spans="1:13" ht="15" x14ac:dyDescent="0.25">
      <c r="A645" s="340"/>
      <c r="B645" s="342"/>
      <c r="C645" s="238"/>
      <c r="D645" s="238"/>
      <c r="E645" s="224">
        <v>2025</v>
      </c>
      <c r="F645" s="157">
        <f t="shared" ref="F645" si="117">SUM(G645:I645)</f>
        <v>2758.4</v>
      </c>
      <c r="G645" s="7"/>
      <c r="H645" s="7">
        <v>2731</v>
      </c>
      <c r="I645" s="7">
        <v>27.4</v>
      </c>
      <c r="J645" s="14"/>
      <c r="K645" s="244"/>
    </row>
    <row r="646" spans="1:13" ht="15" thickBot="1" x14ac:dyDescent="0.25">
      <c r="A646" s="341"/>
      <c r="B646" s="342"/>
      <c r="C646" s="343"/>
      <c r="D646" s="239"/>
      <c r="E646" s="18" t="s">
        <v>18</v>
      </c>
      <c r="F646" s="159">
        <f>SUM(F635:F645)</f>
        <v>26935.8</v>
      </c>
      <c r="G646" s="8"/>
      <c r="H646" s="8">
        <f>SUM(H635:H645)</f>
        <v>26639</v>
      </c>
      <c r="I646" s="8">
        <f>SUM(I635:I645)</f>
        <v>296.8</v>
      </c>
      <c r="J646" s="14"/>
      <c r="K646" s="237"/>
    </row>
    <row r="647" spans="1:13" ht="15.75" customHeight="1" thickBot="1" x14ac:dyDescent="0.25">
      <c r="A647" s="334" t="s">
        <v>191</v>
      </c>
      <c r="B647" s="335"/>
      <c r="C647" s="335"/>
      <c r="D647" s="335"/>
      <c r="E647" s="136" t="s">
        <v>408</v>
      </c>
      <c r="F647" s="158">
        <f>SUM(F635:F645)</f>
        <v>26935.8</v>
      </c>
      <c r="G647" s="147"/>
      <c r="H647" s="8">
        <f>SUM(H635:H645)</f>
        <v>26639</v>
      </c>
      <c r="I647" s="8">
        <f>SUM(I635:I645)</f>
        <v>296.8</v>
      </c>
      <c r="J647" s="17"/>
      <c r="K647" s="6"/>
      <c r="L647" s="127"/>
      <c r="M647" s="127"/>
    </row>
    <row r="648" spans="1:13" ht="14.25" x14ac:dyDescent="0.2">
      <c r="A648" s="346" t="s">
        <v>303</v>
      </c>
      <c r="B648" s="347"/>
      <c r="C648" s="347"/>
      <c r="D648" s="347"/>
      <c r="E648" s="347"/>
      <c r="F648" s="347"/>
      <c r="G648" s="347"/>
      <c r="H648" s="347"/>
      <c r="I648" s="347"/>
      <c r="J648" s="347"/>
      <c r="K648" s="348"/>
    </row>
    <row r="649" spans="1:13" ht="12.75" customHeight="1" x14ac:dyDescent="0.25">
      <c r="A649" s="364" t="s">
        <v>148</v>
      </c>
      <c r="B649" s="258" t="s">
        <v>304</v>
      </c>
      <c r="C649" s="242" t="s">
        <v>421</v>
      </c>
      <c r="D649" s="277" t="s">
        <v>305</v>
      </c>
      <c r="E649" s="212">
        <v>2017</v>
      </c>
      <c r="F649" s="156">
        <f t="shared" ref="F649:F652" si="118">SUM(G649:I649)</f>
        <v>112768.40000000001</v>
      </c>
      <c r="G649" s="7"/>
      <c r="H649" s="7">
        <f>117683.6-4915.2</f>
        <v>112768.40000000001</v>
      </c>
      <c r="I649" s="7">
        <v>0</v>
      </c>
      <c r="J649" s="14"/>
      <c r="K649" s="423" t="s">
        <v>382</v>
      </c>
      <c r="L649" s="99" t="s">
        <v>338</v>
      </c>
    </row>
    <row r="650" spans="1:13" ht="15" x14ac:dyDescent="0.25">
      <c r="A650" s="365"/>
      <c r="B650" s="342"/>
      <c r="C650" s="243"/>
      <c r="D650" s="243"/>
      <c r="E650" s="212">
        <v>2018</v>
      </c>
      <c r="F650" s="156">
        <f t="shared" si="118"/>
        <v>111105</v>
      </c>
      <c r="G650" s="7"/>
      <c r="H650" s="7">
        <f>122021-10916</f>
        <v>111105</v>
      </c>
      <c r="I650" s="7">
        <v>0</v>
      </c>
      <c r="J650" s="14"/>
      <c r="K650" s="424"/>
    </row>
    <row r="651" spans="1:13" ht="15" x14ac:dyDescent="0.25">
      <c r="A651" s="365"/>
      <c r="B651" s="342"/>
      <c r="C651" s="243"/>
      <c r="D651" s="243"/>
      <c r="E651" s="212">
        <v>2019</v>
      </c>
      <c r="F651" s="156">
        <f t="shared" si="118"/>
        <v>120513.3</v>
      </c>
      <c r="G651" s="7"/>
      <c r="H651" s="7">
        <f>121381.5-868.2</f>
        <v>120513.3</v>
      </c>
      <c r="I651" s="7">
        <f>27.6-27.6</f>
        <v>0</v>
      </c>
      <c r="J651" s="14"/>
      <c r="K651" s="424"/>
      <c r="L651" s="99"/>
    </row>
    <row r="652" spans="1:13" ht="15" x14ac:dyDescent="0.25">
      <c r="A652" s="365"/>
      <c r="B652" s="342"/>
      <c r="C652" s="243"/>
      <c r="D652" s="243"/>
      <c r="E652" s="212">
        <v>2020</v>
      </c>
      <c r="F652" s="156">
        <f t="shared" si="118"/>
        <v>123400.2</v>
      </c>
      <c r="G652" s="7"/>
      <c r="H652" s="7">
        <v>123400.2</v>
      </c>
      <c r="I652" s="7">
        <v>0</v>
      </c>
      <c r="J652" s="14"/>
      <c r="K652" s="424"/>
    </row>
    <row r="653" spans="1:13" ht="12.75" customHeight="1" x14ac:dyDescent="0.25">
      <c r="A653" s="365"/>
      <c r="B653" s="342"/>
      <c r="C653" s="243"/>
      <c r="D653" s="243"/>
      <c r="E653" s="224">
        <v>2021</v>
      </c>
      <c r="F653" s="156">
        <f t="shared" ref="F653:F656" si="119">SUM(G653:I653)</f>
        <v>127948.9</v>
      </c>
      <c r="G653" s="7"/>
      <c r="H653" s="7">
        <v>127948.9</v>
      </c>
      <c r="I653" s="7">
        <v>0</v>
      </c>
      <c r="J653" s="14"/>
      <c r="K653" s="424"/>
      <c r="L653" s="99" t="s">
        <v>338</v>
      </c>
    </row>
    <row r="654" spans="1:13" ht="15" x14ac:dyDescent="0.25">
      <c r="A654" s="365"/>
      <c r="B654" s="342"/>
      <c r="C654" s="243"/>
      <c r="D654" s="243"/>
      <c r="E654" s="224">
        <v>2022</v>
      </c>
      <c r="F654" s="156">
        <f t="shared" si="119"/>
        <v>134412.9</v>
      </c>
      <c r="G654" s="7"/>
      <c r="H654" s="7">
        <v>134412.9</v>
      </c>
      <c r="I654" s="7">
        <v>0</v>
      </c>
      <c r="J654" s="14"/>
      <c r="K654" s="424"/>
    </row>
    <row r="655" spans="1:13" ht="15" x14ac:dyDescent="0.25">
      <c r="A655" s="365"/>
      <c r="B655" s="342"/>
      <c r="C655" s="243"/>
      <c r="D655" s="243"/>
      <c r="E655" s="224">
        <v>2023</v>
      </c>
      <c r="F655" s="156">
        <f t="shared" si="119"/>
        <v>140595.9</v>
      </c>
      <c r="G655" s="7"/>
      <c r="H655" s="7">
        <v>140595.9</v>
      </c>
      <c r="I655" s="7">
        <f>27.6-27.6</f>
        <v>0</v>
      </c>
      <c r="J655" s="14"/>
      <c r="K655" s="424"/>
      <c r="L655" s="99"/>
    </row>
    <row r="656" spans="1:13" ht="15" x14ac:dyDescent="0.25">
      <c r="A656" s="365"/>
      <c r="B656" s="342"/>
      <c r="C656" s="243"/>
      <c r="D656" s="243"/>
      <c r="E656" s="224">
        <v>2024</v>
      </c>
      <c r="F656" s="156">
        <f t="shared" si="119"/>
        <v>147063.29999999999</v>
      </c>
      <c r="G656" s="7"/>
      <c r="H656" s="7">
        <v>147063.29999999999</v>
      </c>
      <c r="I656" s="7">
        <v>0</v>
      </c>
      <c r="J656" s="14"/>
      <c r="K656" s="424"/>
    </row>
    <row r="657" spans="1:35" ht="15" x14ac:dyDescent="0.25">
      <c r="A657" s="365"/>
      <c r="B657" s="342"/>
      <c r="C657" s="243"/>
      <c r="D657" s="243"/>
      <c r="E657" s="224">
        <v>2025</v>
      </c>
      <c r="F657" s="156">
        <f t="shared" ref="F657" si="120">SUM(G657:I657)</f>
        <v>153828.20000000001</v>
      </c>
      <c r="G657" s="7"/>
      <c r="H657" s="7">
        <v>153828.20000000001</v>
      </c>
      <c r="I657" s="7">
        <v>0</v>
      </c>
      <c r="J657" s="14"/>
      <c r="K657" s="424"/>
    </row>
    <row r="658" spans="1:35" ht="14.25" x14ac:dyDescent="0.2">
      <c r="A658" s="365"/>
      <c r="B658" s="342"/>
      <c r="C658" s="243"/>
      <c r="D658" s="243"/>
      <c r="E658" s="18" t="s">
        <v>18</v>
      </c>
      <c r="F658" s="140">
        <f>SUM(F649:F657)</f>
        <v>1171636.1000000001</v>
      </c>
      <c r="G658" s="8"/>
      <c r="H658" s="8">
        <f>SUM(H649:H657)</f>
        <v>1171636.1000000001</v>
      </c>
      <c r="I658" s="8">
        <f>SUM(I649:I652)</f>
        <v>0</v>
      </c>
      <c r="J658" s="14"/>
      <c r="K658" s="424"/>
    </row>
    <row r="659" spans="1:35" ht="16.5" customHeight="1" thickBot="1" x14ac:dyDescent="0.25">
      <c r="A659" s="425" t="s">
        <v>211</v>
      </c>
      <c r="B659" s="336"/>
      <c r="C659" s="336"/>
      <c r="D659" s="336"/>
      <c r="E659" s="100" t="s">
        <v>299</v>
      </c>
      <c r="F659" s="181">
        <f>SUM(F649:F657)</f>
        <v>1171636.1000000001</v>
      </c>
      <c r="G659" s="176"/>
      <c r="H659" s="154">
        <f>SUM(H649:H657)</f>
        <v>1171636.1000000001</v>
      </c>
      <c r="I659" s="154">
        <f>SUM(I649:I652)</f>
        <v>0</v>
      </c>
      <c r="J659" s="177"/>
      <c r="K659" s="100"/>
      <c r="L659" s="126"/>
      <c r="M659" s="127"/>
    </row>
    <row r="660" spans="1:35" ht="48" customHeight="1" thickBot="1" x14ac:dyDescent="0.3">
      <c r="A660" s="533" t="s">
        <v>193</v>
      </c>
      <c r="B660" s="534"/>
      <c r="C660" s="534"/>
      <c r="D660" s="535"/>
      <c r="E660" s="182" t="s">
        <v>61</v>
      </c>
      <c r="F660" s="182" t="s">
        <v>18</v>
      </c>
      <c r="G660" s="183" t="s">
        <v>10</v>
      </c>
      <c r="H660" s="184" t="s">
        <v>11</v>
      </c>
      <c r="I660" s="184" t="s">
        <v>12</v>
      </c>
      <c r="J660" s="184" t="s">
        <v>13</v>
      </c>
      <c r="K660" s="185"/>
      <c r="L660" s="131"/>
      <c r="M660" s="132"/>
      <c r="N660" s="68"/>
    </row>
    <row r="661" spans="1:35" ht="16.5" thickBot="1" x14ac:dyDescent="0.3">
      <c r="A661" s="536"/>
      <c r="B661" s="537"/>
      <c r="C661" s="537"/>
      <c r="D661" s="538"/>
      <c r="E661" s="178"/>
      <c r="F661" s="149">
        <f>SUM(G661:J661)</f>
        <v>1913100.0999999999</v>
      </c>
      <c r="G661" s="179"/>
      <c r="H661" s="180">
        <f>H647+H633+H595+H563+H500+H659</f>
        <v>1198639.8</v>
      </c>
      <c r="I661" s="180">
        <f>I647+I633+I595+I563+I500+I659</f>
        <v>714460.29999999981</v>
      </c>
      <c r="J661" s="180">
        <f>J647+J633+J595+J563+J500+J659</f>
        <v>0</v>
      </c>
      <c r="K661" s="103"/>
      <c r="L661" s="36"/>
      <c r="M661" s="36"/>
      <c r="N661" s="36"/>
    </row>
    <row r="662" spans="1:35" ht="18.75" customHeight="1" thickBot="1" x14ac:dyDescent="0.25">
      <c r="A662" s="416" t="s">
        <v>194</v>
      </c>
      <c r="B662" s="417"/>
      <c r="C662" s="417"/>
      <c r="D662" s="417"/>
      <c r="E662" s="417"/>
      <c r="F662" s="417"/>
      <c r="G662" s="417"/>
      <c r="H662" s="417"/>
      <c r="I662" s="417"/>
      <c r="J662" s="417"/>
      <c r="K662" s="418"/>
      <c r="L662" s="69"/>
      <c r="M662" s="69"/>
      <c r="N662" s="69"/>
    </row>
    <row r="663" spans="1:35" ht="30" customHeight="1" x14ac:dyDescent="0.2">
      <c r="A663" s="247" t="s">
        <v>195</v>
      </c>
      <c r="B663" s="249"/>
      <c r="C663" s="249"/>
      <c r="D663" s="249"/>
      <c r="E663" s="241"/>
      <c r="F663" s="241"/>
      <c r="G663" s="241"/>
      <c r="H663" s="241"/>
      <c r="I663" s="241"/>
      <c r="J663" s="241"/>
      <c r="K663" s="241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  <c r="AA663" s="70"/>
      <c r="AB663" s="70"/>
      <c r="AC663" s="70"/>
      <c r="AD663" s="70"/>
      <c r="AE663" s="70"/>
      <c r="AF663" s="70"/>
      <c r="AG663" s="70"/>
      <c r="AH663" s="70"/>
      <c r="AI663" s="71"/>
    </row>
    <row r="664" spans="1:35" ht="15" x14ac:dyDescent="0.25">
      <c r="A664" s="245" t="s">
        <v>101</v>
      </c>
      <c r="B664" s="345" t="s">
        <v>85</v>
      </c>
      <c r="C664" s="234" t="s">
        <v>410</v>
      </c>
      <c r="D664" s="236" t="s">
        <v>209</v>
      </c>
      <c r="E664" s="212">
        <v>2015</v>
      </c>
      <c r="F664" s="157">
        <f t="shared" ref="F664:F669" si="121">SUM(G664:J664)</f>
        <v>1923.3999999999999</v>
      </c>
      <c r="G664" s="7"/>
      <c r="H664" s="7">
        <f>2020.6-97.2</f>
        <v>1923.3999999999999</v>
      </c>
      <c r="I664" s="14"/>
      <c r="J664" s="14"/>
      <c r="K664" s="236" t="s">
        <v>164</v>
      </c>
    </row>
    <row r="665" spans="1:35" ht="15" x14ac:dyDescent="0.25">
      <c r="A665" s="246"/>
      <c r="B665" s="304"/>
      <c r="C665" s="238"/>
      <c r="D665" s="238"/>
      <c r="E665" s="212">
        <v>2016</v>
      </c>
      <c r="F665" s="157">
        <f t="shared" si="121"/>
        <v>2072.6</v>
      </c>
      <c r="G665" s="7"/>
      <c r="H665" s="7">
        <f>2072.6</f>
        <v>2072.6</v>
      </c>
      <c r="I665" s="14"/>
      <c r="J665" s="14"/>
      <c r="K665" s="244"/>
      <c r="L665" s="99"/>
    </row>
    <row r="666" spans="1:35" ht="15" x14ac:dyDescent="0.25">
      <c r="A666" s="246"/>
      <c r="B666" s="304"/>
      <c r="C666" s="238"/>
      <c r="D666" s="238"/>
      <c r="E666" s="212">
        <v>2017</v>
      </c>
      <c r="F666" s="157">
        <f t="shared" si="121"/>
        <v>1468.9</v>
      </c>
      <c r="G666" s="7"/>
      <c r="H666" s="7">
        <f>1919.7-116.3-334.5</f>
        <v>1468.9</v>
      </c>
      <c r="I666" s="14"/>
      <c r="J666" s="14"/>
      <c r="K666" s="244"/>
      <c r="L666" s="99" t="s">
        <v>333</v>
      </c>
      <c r="M666" s="106"/>
    </row>
    <row r="667" spans="1:35" ht="15" x14ac:dyDescent="0.25">
      <c r="A667" s="246"/>
      <c r="B667" s="304"/>
      <c r="C667" s="238"/>
      <c r="D667" s="238"/>
      <c r="E667" s="212">
        <v>2018</v>
      </c>
      <c r="F667" s="157">
        <f t="shared" si="121"/>
        <v>1163.5999999999999</v>
      </c>
      <c r="G667" s="7"/>
      <c r="H667" s="7">
        <f>1342.6-179</f>
        <v>1163.5999999999999</v>
      </c>
      <c r="I667" s="14"/>
      <c r="J667" s="14"/>
      <c r="K667" s="244"/>
      <c r="L667" s="99"/>
      <c r="M667" s="106"/>
    </row>
    <row r="668" spans="1:35" ht="15" x14ac:dyDescent="0.25">
      <c r="A668" s="246"/>
      <c r="B668" s="304"/>
      <c r="C668" s="238"/>
      <c r="D668" s="238"/>
      <c r="E668" s="212">
        <v>2019</v>
      </c>
      <c r="F668" s="157">
        <f t="shared" si="121"/>
        <v>872.7</v>
      </c>
      <c r="G668" s="7"/>
      <c r="H668" s="7">
        <f>1221.7-349</f>
        <v>872.7</v>
      </c>
      <c r="I668" s="14"/>
      <c r="J668" s="14"/>
      <c r="K668" s="244"/>
      <c r="L668" s="99"/>
      <c r="M668" s="106"/>
    </row>
    <row r="669" spans="1:35" ht="15" x14ac:dyDescent="0.25">
      <c r="A669" s="246"/>
      <c r="B669" s="304"/>
      <c r="C669" s="238"/>
      <c r="D669" s="238"/>
      <c r="E669" s="212">
        <v>2020</v>
      </c>
      <c r="F669" s="157">
        <f t="shared" si="121"/>
        <v>1221.7</v>
      </c>
      <c r="G669" s="7"/>
      <c r="H669" s="7">
        <v>1221.7</v>
      </c>
      <c r="I669" s="14"/>
      <c r="J669" s="14"/>
      <c r="K669" s="244"/>
    </row>
    <row r="670" spans="1:35" ht="15" x14ac:dyDescent="0.25">
      <c r="A670" s="246"/>
      <c r="B670" s="304"/>
      <c r="C670" s="238"/>
      <c r="D670" s="238"/>
      <c r="E670" s="224">
        <v>2021</v>
      </c>
      <c r="F670" s="157">
        <f t="shared" ref="F670:F674" si="122">SUM(G670:J670)</f>
        <v>1221.7</v>
      </c>
      <c r="G670" s="7"/>
      <c r="H670" s="7">
        <v>1221.7</v>
      </c>
      <c r="I670" s="14"/>
      <c r="J670" s="14"/>
      <c r="K670" s="244"/>
      <c r="L670" s="99"/>
    </row>
    <row r="671" spans="1:35" ht="15" x14ac:dyDescent="0.25">
      <c r="A671" s="246"/>
      <c r="B671" s="304"/>
      <c r="C671" s="238"/>
      <c r="D671" s="238"/>
      <c r="E671" s="224">
        <v>2022</v>
      </c>
      <c r="F671" s="157">
        <f t="shared" si="122"/>
        <v>1300</v>
      </c>
      <c r="G671" s="7"/>
      <c r="H671" s="7">
        <v>1300</v>
      </c>
      <c r="I671" s="14"/>
      <c r="J671" s="14"/>
      <c r="K671" s="244"/>
      <c r="L671" s="99" t="s">
        <v>333</v>
      </c>
      <c r="M671" s="106"/>
    </row>
    <row r="672" spans="1:35" ht="15" x14ac:dyDescent="0.25">
      <c r="A672" s="246"/>
      <c r="B672" s="304"/>
      <c r="C672" s="238"/>
      <c r="D672" s="238"/>
      <c r="E672" s="224">
        <v>2023</v>
      </c>
      <c r="F672" s="157">
        <f t="shared" si="122"/>
        <v>1360</v>
      </c>
      <c r="G672" s="7"/>
      <c r="H672" s="7">
        <v>1360</v>
      </c>
      <c r="I672" s="14"/>
      <c r="J672" s="14"/>
      <c r="K672" s="244"/>
      <c r="L672" s="99"/>
      <c r="M672" s="106"/>
    </row>
    <row r="673" spans="1:13" ht="15" x14ac:dyDescent="0.25">
      <c r="A673" s="246"/>
      <c r="B673" s="304"/>
      <c r="C673" s="238"/>
      <c r="D673" s="238"/>
      <c r="E673" s="224">
        <v>2024</v>
      </c>
      <c r="F673" s="157">
        <f t="shared" si="122"/>
        <v>1423</v>
      </c>
      <c r="G673" s="7"/>
      <c r="H673" s="7">
        <v>1423</v>
      </c>
      <c r="I673" s="14"/>
      <c r="J673" s="14"/>
      <c r="K673" s="244"/>
      <c r="L673" s="99"/>
      <c r="M673" s="106"/>
    </row>
    <row r="674" spans="1:13" ht="15" x14ac:dyDescent="0.25">
      <c r="A674" s="246"/>
      <c r="B674" s="304"/>
      <c r="C674" s="238"/>
      <c r="D674" s="238"/>
      <c r="E674" s="224">
        <v>2025</v>
      </c>
      <c r="F674" s="157">
        <f t="shared" si="122"/>
        <v>1488</v>
      </c>
      <c r="G674" s="7"/>
      <c r="H674" s="7">
        <v>1488</v>
      </c>
      <c r="I674" s="14"/>
      <c r="J674" s="14"/>
      <c r="K674" s="244"/>
    </row>
    <row r="675" spans="1:13" ht="18.75" customHeight="1" x14ac:dyDescent="0.2">
      <c r="A675" s="246"/>
      <c r="B675" s="304"/>
      <c r="C675" s="239"/>
      <c r="D675" s="239"/>
      <c r="E675" s="18" t="s">
        <v>18</v>
      </c>
      <c r="F675" s="158">
        <f>SUM(F664:F674)</f>
        <v>15515.6</v>
      </c>
      <c r="G675" s="8"/>
      <c r="H675" s="8">
        <f>SUM(H664:H674)</f>
        <v>15515.6</v>
      </c>
      <c r="I675" s="14"/>
      <c r="J675" s="14"/>
      <c r="K675" s="244"/>
    </row>
    <row r="676" spans="1:13" ht="15" x14ac:dyDescent="0.25">
      <c r="A676" s="245" t="s">
        <v>103</v>
      </c>
      <c r="B676" s="258" t="s">
        <v>86</v>
      </c>
      <c r="C676" s="234" t="s">
        <v>410</v>
      </c>
      <c r="D676" s="236" t="s">
        <v>209</v>
      </c>
      <c r="E676" s="212">
        <v>2015</v>
      </c>
      <c r="F676" s="157">
        <f t="shared" ref="F676:F681" si="123">SUM(G676:J676)</f>
        <v>759.90000000000009</v>
      </c>
      <c r="G676" s="7"/>
      <c r="H676" s="7">
        <f>783-27.3+4.2</f>
        <v>759.90000000000009</v>
      </c>
      <c r="I676" s="7"/>
      <c r="J676" s="14"/>
      <c r="K676" s="244"/>
    </row>
    <row r="677" spans="1:13" ht="15" x14ac:dyDescent="0.25">
      <c r="A677" s="246"/>
      <c r="B677" s="344"/>
      <c r="C677" s="238"/>
      <c r="D677" s="238"/>
      <c r="E677" s="212">
        <v>2016</v>
      </c>
      <c r="F677" s="157">
        <f t="shared" si="123"/>
        <v>753.4</v>
      </c>
      <c r="G677" s="7"/>
      <c r="H677" s="7">
        <f>753.4</f>
        <v>753.4</v>
      </c>
      <c r="I677" s="7"/>
      <c r="J677" s="14"/>
      <c r="K677" s="244"/>
      <c r="L677" s="99"/>
    </row>
    <row r="678" spans="1:13" ht="15" x14ac:dyDescent="0.25">
      <c r="A678" s="246"/>
      <c r="B678" s="344"/>
      <c r="C678" s="238"/>
      <c r="D678" s="238"/>
      <c r="E678" s="212">
        <v>2017</v>
      </c>
      <c r="F678" s="157">
        <f t="shared" si="123"/>
        <v>425.09999999999997</v>
      </c>
      <c r="G678" s="7"/>
      <c r="H678" s="7">
        <f>671.9-162.8-84</f>
        <v>425.09999999999997</v>
      </c>
      <c r="I678" s="7"/>
      <c r="J678" s="14"/>
      <c r="K678" s="244"/>
      <c r="L678" s="118" t="s">
        <v>334</v>
      </c>
      <c r="M678" s="106"/>
    </row>
    <row r="679" spans="1:13" ht="15" x14ac:dyDescent="0.25">
      <c r="A679" s="246"/>
      <c r="B679" s="344"/>
      <c r="C679" s="238"/>
      <c r="D679" s="238"/>
      <c r="E679" s="212">
        <v>2018</v>
      </c>
      <c r="F679" s="157">
        <f t="shared" si="123"/>
        <v>381.2</v>
      </c>
      <c r="G679" s="7"/>
      <c r="H679" s="7">
        <f>476.5-95.3</f>
        <v>381.2</v>
      </c>
      <c r="I679" s="7"/>
      <c r="J679" s="14"/>
      <c r="K679" s="244"/>
      <c r="L679" s="99"/>
      <c r="M679" s="106"/>
    </row>
    <row r="680" spans="1:13" ht="15" x14ac:dyDescent="0.25">
      <c r="A680" s="246"/>
      <c r="B680" s="344"/>
      <c r="C680" s="238"/>
      <c r="D680" s="238"/>
      <c r="E680" s="212">
        <v>2019</v>
      </c>
      <c r="F680" s="157">
        <f t="shared" si="123"/>
        <v>397.6</v>
      </c>
      <c r="G680" s="7"/>
      <c r="H680" s="7">
        <v>397.6</v>
      </c>
      <c r="I680" s="7"/>
      <c r="J680" s="14"/>
      <c r="K680" s="244"/>
      <c r="L680" s="99"/>
      <c r="M680" s="106"/>
    </row>
    <row r="681" spans="1:13" ht="15" x14ac:dyDescent="0.25">
      <c r="A681" s="246"/>
      <c r="B681" s="344"/>
      <c r="C681" s="238"/>
      <c r="D681" s="238"/>
      <c r="E681" s="212">
        <v>2020</v>
      </c>
      <c r="F681" s="157">
        <f t="shared" si="123"/>
        <v>411.5</v>
      </c>
      <c r="G681" s="7"/>
      <c r="H681" s="7">
        <v>411.5</v>
      </c>
      <c r="I681" s="7"/>
      <c r="J681" s="14"/>
      <c r="K681" s="244"/>
    </row>
    <row r="682" spans="1:13" ht="15" x14ac:dyDescent="0.25">
      <c r="A682" s="246"/>
      <c r="B682" s="335"/>
      <c r="C682" s="238"/>
      <c r="D682" s="238"/>
      <c r="E682" s="224">
        <v>2021</v>
      </c>
      <c r="F682" s="157">
        <f t="shared" ref="F682:F686" si="124">SUM(G682:J682)</f>
        <v>429.2</v>
      </c>
      <c r="G682" s="7"/>
      <c r="H682" s="7">
        <v>429.2</v>
      </c>
      <c r="I682" s="7"/>
      <c r="J682" s="14"/>
      <c r="K682" s="244"/>
    </row>
    <row r="683" spans="1:13" ht="15" x14ac:dyDescent="0.25">
      <c r="A683" s="246"/>
      <c r="B683" s="335"/>
      <c r="C683" s="238"/>
      <c r="D683" s="238"/>
      <c r="E683" s="224">
        <v>2022</v>
      </c>
      <c r="F683" s="157">
        <f t="shared" si="124"/>
        <v>500</v>
      </c>
      <c r="G683" s="7"/>
      <c r="H683" s="7">
        <v>500</v>
      </c>
      <c r="I683" s="7"/>
      <c r="J683" s="14"/>
      <c r="K683" s="244"/>
      <c r="L683" s="99"/>
    </row>
    <row r="684" spans="1:13" ht="15" x14ac:dyDescent="0.25">
      <c r="A684" s="246"/>
      <c r="B684" s="335"/>
      <c r="C684" s="238"/>
      <c r="D684" s="238"/>
      <c r="E684" s="224">
        <v>2023</v>
      </c>
      <c r="F684" s="157">
        <f t="shared" si="124"/>
        <v>523</v>
      </c>
      <c r="G684" s="7"/>
      <c r="H684" s="7">
        <v>523</v>
      </c>
      <c r="I684" s="7"/>
      <c r="J684" s="14"/>
      <c r="K684" s="244"/>
      <c r="L684" s="118" t="s">
        <v>334</v>
      </c>
      <c r="M684" s="106"/>
    </row>
    <row r="685" spans="1:13" ht="15" x14ac:dyDescent="0.25">
      <c r="A685" s="246"/>
      <c r="B685" s="335"/>
      <c r="C685" s="238"/>
      <c r="D685" s="238"/>
      <c r="E685" s="224">
        <v>2024</v>
      </c>
      <c r="F685" s="157">
        <f t="shared" si="124"/>
        <v>547</v>
      </c>
      <c r="G685" s="7"/>
      <c r="H685" s="7">
        <v>547</v>
      </c>
      <c r="I685" s="7"/>
      <c r="J685" s="14"/>
      <c r="K685" s="244"/>
      <c r="L685" s="99"/>
      <c r="M685" s="106"/>
    </row>
    <row r="686" spans="1:13" ht="15" x14ac:dyDescent="0.25">
      <c r="A686" s="246"/>
      <c r="B686" s="335"/>
      <c r="C686" s="238"/>
      <c r="D686" s="238"/>
      <c r="E686" s="224">
        <v>2025</v>
      </c>
      <c r="F686" s="157">
        <f t="shared" si="124"/>
        <v>572</v>
      </c>
      <c r="G686" s="7"/>
      <c r="H686" s="7">
        <v>572</v>
      </c>
      <c r="I686" s="7"/>
      <c r="J686" s="14"/>
      <c r="K686" s="244"/>
      <c r="L686" s="99"/>
      <c r="M686" s="106"/>
    </row>
    <row r="687" spans="1:13" ht="14.25" x14ac:dyDescent="0.2">
      <c r="A687" s="246"/>
      <c r="B687" s="335"/>
      <c r="C687" s="238"/>
      <c r="D687" s="239"/>
      <c r="E687" s="18" t="s">
        <v>18</v>
      </c>
      <c r="F687" s="159">
        <f>SUM(F676:F686)</f>
        <v>5699.9</v>
      </c>
      <c r="G687" s="8"/>
      <c r="H687" s="8">
        <f>SUM(H676:H686)</f>
        <v>5699.9</v>
      </c>
      <c r="I687" s="8"/>
      <c r="J687" s="13"/>
      <c r="K687" s="244"/>
    </row>
    <row r="688" spans="1:13" ht="15" x14ac:dyDescent="0.25">
      <c r="A688" s="245" t="s">
        <v>105</v>
      </c>
      <c r="B688" s="258" t="s">
        <v>87</v>
      </c>
      <c r="C688" s="234" t="s">
        <v>420</v>
      </c>
      <c r="D688" s="236" t="s">
        <v>209</v>
      </c>
      <c r="E688" s="212">
        <v>2015</v>
      </c>
      <c r="F688" s="157">
        <f t="shared" ref="F688:F693" si="125">SUM(G688:J688)</f>
        <v>285</v>
      </c>
      <c r="G688" s="7"/>
      <c r="H688" s="7"/>
      <c r="I688" s="7">
        <v>285</v>
      </c>
      <c r="J688" s="14"/>
      <c r="K688" s="244"/>
    </row>
    <row r="689" spans="1:19" ht="15" x14ac:dyDescent="0.25">
      <c r="A689" s="246"/>
      <c r="B689" s="344"/>
      <c r="C689" s="238"/>
      <c r="D689" s="238"/>
      <c r="E689" s="212">
        <v>2016</v>
      </c>
      <c r="F689" s="157">
        <f t="shared" si="125"/>
        <v>229.59999999999997</v>
      </c>
      <c r="G689" s="7"/>
      <c r="H689" s="7"/>
      <c r="I689" s="7">
        <f>281.4-51.8</f>
        <v>229.59999999999997</v>
      </c>
      <c r="J689" s="14"/>
      <c r="K689" s="244"/>
      <c r="L689" s="99"/>
    </row>
    <row r="690" spans="1:19" ht="15" x14ac:dyDescent="0.25">
      <c r="A690" s="246"/>
      <c r="B690" s="344"/>
      <c r="C690" s="238"/>
      <c r="D690" s="238"/>
      <c r="E690" s="212">
        <v>2017</v>
      </c>
      <c r="F690" s="157">
        <f t="shared" si="125"/>
        <v>225.6</v>
      </c>
      <c r="G690" s="7"/>
      <c r="H690" s="7"/>
      <c r="I690" s="7">
        <v>225.6</v>
      </c>
      <c r="J690" s="14"/>
      <c r="K690" s="244"/>
      <c r="L690" s="99"/>
    </row>
    <row r="691" spans="1:19" ht="15" x14ac:dyDescent="0.25">
      <c r="A691" s="246"/>
      <c r="B691" s="344"/>
      <c r="C691" s="238"/>
      <c r="D691" s="238"/>
      <c r="E691" s="212">
        <v>2018</v>
      </c>
      <c r="F691" s="157">
        <f t="shared" si="125"/>
        <v>220.6</v>
      </c>
      <c r="G691" s="7"/>
      <c r="H691" s="7"/>
      <c r="I691" s="7">
        <v>220.6</v>
      </c>
      <c r="J691" s="14"/>
      <c r="K691" s="244"/>
      <c r="L691" s="99"/>
    </row>
    <row r="692" spans="1:19" ht="15" x14ac:dyDescent="0.25">
      <c r="A692" s="246"/>
      <c r="B692" s="344"/>
      <c r="C692" s="238"/>
      <c r="D692" s="238"/>
      <c r="E692" s="212">
        <v>2019</v>
      </c>
      <c r="F692" s="157">
        <f t="shared" si="125"/>
        <v>215.1</v>
      </c>
      <c r="G692" s="7"/>
      <c r="H692" s="7"/>
      <c r="I692" s="7">
        <v>215.1</v>
      </c>
      <c r="J692" s="14"/>
      <c r="K692" s="244"/>
    </row>
    <row r="693" spans="1:19" ht="15" x14ac:dyDescent="0.25">
      <c r="A693" s="246"/>
      <c r="B693" s="344"/>
      <c r="C693" s="238"/>
      <c r="D693" s="238"/>
      <c r="E693" s="212">
        <v>2020</v>
      </c>
      <c r="F693" s="157">
        <f t="shared" si="125"/>
        <v>0</v>
      </c>
      <c r="G693" s="7"/>
      <c r="H693" s="7"/>
      <c r="I693" s="7">
        <v>0</v>
      </c>
      <c r="J693" s="14"/>
      <c r="K693" s="244"/>
    </row>
    <row r="694" spans="1:19" ht="15" x14ac:dyDescent="0.25">
      <c r="A694" s="246"/>
      <c r="B694" s="335"/>
      <c r="C694" s="238"/>
      <c r="D694" s="238"/>
      <c r="E694" s="224">
        <v>2021</v>
      </c>
      <c r="F694" s="157">
        <f t="shared" ref="F694" si="126">SUM(G694:J694)</f>
        <v>0</v>
      </c>
      <c r="G694" s="7"/>
      <c r="H694" s="7"/>
      <c r="I694" s="7">
        <v>0</v>
      </c>
      <c r="J694" s="14"/>
      <c r="K694" s="244"/>
    </row>
    <row r="695" spans="1:19" ht="60.75" customHeight="1" x14ac:dyDescent="0.2">
      <c r="A695" s="246"/>
      <c r="B695" s="335"/>
      <c r="C695" s="238"/>
      <c r="D695" s="239"/>
      <c r="E695" s="18" t="s">
        <v>18</v>
      </c>
      <c r="F695" s="158">
        <f>SUM(F688:F693)</f>
        <v>1175.8999999999999</v>
      </c>
      <c r="G695" s="8"/>
      <c r="H695" s="8"/>
      <c r="I695" s="8">
        <f>SUM(I688:I693)</f>
        <v>1175.8999999999999</v>
      </c>
      <c r="J695" s="13"/>
      <c r="K695" s="244"/>
    </row>
    <row r="696" spans="1:19" ht="12.75" customHeight="1" x14ac:dyDescent="0.25">
      <c r="A696" s="245" t="s">
        <v>106</v>
      </c>
      <c r="B696" s="240" t="s">
        <v>387</v>
      </c>
      <c r="C696" s="234" t="s">
        <v>410</v>
      </c>
      <c r="D696" s="236" t="s">
        <v>389</v>
      </c>
      <c r="E696" s="212">
        <v>2015</v>
      </c>
      <c r="F696" s="157">
        <f t="shared" ref="F696:F701" si="127">SUM(G696:I696)</f>
        <v>7143.2</v>
      </c>
      <c r="G696" s="7"/>
      <c r="H696" s="7">
        <f>7797.5+70.5-920.2-88.1</f>
        <v>6859.7</v>
      </c>
      <c r="I696" s="7">
        <v>283.5</v>
      </c>
      <c r="J696" s="14"/>
      <c r="K696" s="244"/>
    </row>
    <row r="697" spans="1:19" ht="15" x14ac:dyDescent="0.25">
      <c r="A697" s="246"/>
      <c r="B697" s="241"/>
      <c r="C697" s="238"/>
      <c r="D697" s="244"/>
      <c r="E697" s="212">
        <v>2016</v>
      </c>
      <c r="F697" s="157">
        <f t="shared" si="127"/>
        <v>6232.8</v>
      </c>
      <c r="G697" s="7"/>
      <c r="H697" s="7">
        <f>9160.9-998.2-2081</f>
        <v>6081.7</v>
      </c>
      <c r="I697" s="7">
        <f>296.8-145.7</f>
        <v>151.10000000000002</v>
      </c>
      <c r="J697" s="14"/>
      <c r="K697" s="244"/>
      <c r="L697" s="99"/>
      <c r="P697" s="99" t="s">
        <v>335</v>
      </c>
      <c r="S697" s="99" t="s">
        <v>337</v>
      </c>
    </row>
    <row r="698" spans="1:19" ht="15" x14ac:dyDescent="0.25">
      <c r="A698" s="246"/>
      <c r="B698" s="241"/>
      <c r="C698" s="238"/>
      <c r="D698" s="244"/>
      <c r="E698" s="212">
        <v>2017</v>
      </c>
      <c r="F698" s="157">
        <f t="shared" si="127"/>
        <v>6749.2000000000007</v>
      </c>
      <c r="G698" s="7"/>
      <c r="H698" s="7">
        <f>7964.8-97.5-1311.7</f>
        <v>6555.6</v>
      </c>
      <c r="I698" s="7">
        <f>225.6-32</f>
        <v>193.6</v>
      </c>
      <c r="J698" s="14"/>
      <c r="K698" s="244"/>
      <c r="L698" s="99" t="s">
        <v>367</v>
      </c>
      <c r="M698" s="106"/>
      <c r="N698" s="106"/>
      <c r="O698" s="107">
        <f>H698-S698</f>
        <v>-1311.6999999999998</v>
      </c>
      <c r="P698" s="122">
        <f>7130.3+680.4</f>
        <v>7810.7</v>
      </c>
      <c r="Q698" s="121" t="s">
        <v>336</v>
      </c>
      <c r="R698" s="112">
        <v>56.6</v>
      </c>
      <c r="S698" s="123">
        <f>P698+R698</f>
        <v>7867.3</v>
      </c>
    </row>
    <row r="699" spans="1:19" ht="15" x14ac:dyDescent="0.25">
      <c r="A699" s="246"/>
      <c r="B699" s="241"/>
      <c r="C699" s="238"/>
      <c r="D699" s="244"/>
      <c r="E699" s="212">
        <v>2018</v>
      </c>
      <c r="F699" s="157">
        <f t="shared" si="127"/>
        <v>6869.5</v>
      </c>
      <c r="G699" s="7"/>
      <c r="H699" s="7">
        <f>7889.6-1217.8</f>
        <v>6671.8</v>
      </c>
      <c r="I699" s="7">
        <f>61+211.7-75</f>
        <v>197.7</v>
      </c>
      <c r="J699" s="14"/>
      <c r="K699" s="244"/>
      <c r="L699" s="99"/>
      <c r="M699" s="106"/>
      <c r="N699" s="106"/>
    </row>
    <row r="700" spans="1:19" ht="15" x14ac:dyDescent="0.25">
      <c r="A700" s="246"/>
      <c r="B700" s="241"/>
      <c r="C700" s="238"/>
      <c r="D700" s="244"/>
      <c r="E700" s="212">
        <v>2019</v>
      </c>
      <c r="F700" s="157">
        <f t="shared" si="127"/>
        <v>7626.7</v>
      </c>
      <c r="G700" s="7"/>
      <c r="H700" s="7">
        <v>7354</v>
      </c>
      <c r="I700" s="7">
        <v>272.7</v>
      </c>
      <c r="J700" s="14"/>
      <c r="K700" s="244"/>
      <c r="M700" s="106"/>
      <c r="N700" s="106"/>
    </row>
    <row r="701" spans="1:19" ht="15" x14ac:dyDescent="0.25">
      <c r="A701" s="246"/>
      <c r="B701" s="241"/>
      <c r="C701" s="238"/>
      <c r="D701" s="244"/>
      <c r="E701" s="212">
        <v>2020</v>
      </c>
      <c r="F701" s="157">
        <f t="shared" si="127"/>
        <v>7626.7</v>
      </c>
      <c r="G701" s="7"/>
      <c r="H701" s="7">
        <v>7354</v>
      </c>
      <c r="I701" s="7">
        <v>272.7</v>
      </c>
      <c r="J701" s="14"/>
      <c r="K701" s="244"/>
    </row>
    <row r="702" spans="1:19" ht="15" x14ac:dyDescent="0.25">
      <c r="A702" s="352"/>
      <c r="B702" s="249"/>
      <c r="C702" s="238"/>
      <c r="D702" s="244"/>
      <c r="E702" s="224">
        <v>2021</v>
      </c>
      <c r="F702" s="157">
        <f t="shared" ref="F702:F706" si="128">SUM(G702:I702)</f>
        <v>7626.7</v>
      </c>
      <c r="G702" s="7"/>
      <c r="H702" s="7">
        <v>7354</v>
      </c>
      <c r="I702" s="7">
        <v>272.7</v>
      </c>
      <c r="J702" s="14"/>
      <c r="K702" s="244"/>
      <c r="L702" s="99"/>
      <c r="P702" s="99" t="s">
        <v>335</v>
      </c>
      <c r="S702" s="99" t="s">
        <v>337</v>
      </c>
    </row>
    <row r="703" spans="1:19" ht="15" x14ac:dyDescent="0.25">
      <c r="A703" s="352"/>
      <c r="B703" s="249"/>
      <c r="C703" s="238"/>
      <c r="D703" s="244"/>
      <c r="E703" s="224">
        <v>2022</v>
      </c>
      <c r="F703" s="157">
        <f t="shared" si="128"/>
        <v>8283.6</v>
      </c>
      <c r="G703" s="7"/>
      <c r="H703" s="7">
        <v>8000</v>
      </c>
      <c r="I703" s="7">
        <v>283.60000000000002</v>
      </c>
      <c r="J703" s="14"/>
      <c r="K703" s="244"/>
      <c r="L703" s="99" t="s">
        <v>367</v>
      </c>
      <c r="M703" s="106"/>
      <c r="N703" s="106"/>
      <c r="O703" s="107">
        <f>H703-S703</f>
        <v>132.69999999999982</v>
      </c>
      <c r="P703" s="122">
        <f>7130.3+680.4</f>
        <v>7810.7</v>
      </c>
      <c r="Q703" s="121" t="s">
        <v>336</v>
      </c>
      <c r="R703" s="112">
        <v>56.6</v>
      </c>
      <c r="S703" s="123">
        <f>P703+R703</f>
        <v>7867.3</v>
      </c>
    </row>
    <row r="704" spans="1:19" ht="15" x14ac:dyDescent="0.25">
      <c r="A704" s="352"/>
      <c r="B704" s="249"/>
      <c r="C704" s="238"/>
      <c r="D704" s="244"/>
      <c r="E704" s="224">
        <v>2023</v>
      </c>
      <c r="F704" s="157">
        <f t="shared" si="128"/>
        <v>8662.9</v>
      </c>
      <c r="G704" s="7"/>
      <c r="H704" s="7">
        <v>8368</v>
      </c>
      <c r="I704" s="7">
        <v>294.89999999999998</v>
      </c>
      <c r="J704" s="14"/>
      <c r="K704" s="244"/>
      <c r="L704" s="99"/>
      <c r="M704" s="106"/>
      <c r="N704" s="106"/>
    </row>
    <row r="705" spans="1:35" ht="15" x14ac:dyDescent="0.25">
      <c r="A705" s="352"/>
      <c r="B705" s="249"/>
      <c r="C705" s="238"/>
      <c r="D705" s="244"/>
      <c r="E705" s="224">
        <v>2024</v>
      </c>
      <c r="F705" s="157">
        <f t="shared" si="128"/>
        <v>9059.7000000000007</v>
      </c>
      <c r="G705" s="7"/>
      <c r="H705" s="7">
        <v>8753</v>
      </c>
      <c r="I705" s="7">
        <v>306.7</v>
      </c>
      <c r="J705" s="14"/>
      <c r="K705" s="244"/>
      <c r="M705" s="106"/>
      <c r="N705" s="106"/>
    </row>
    <row r="706" spans="1:35" ht="15" x14ac:dyDescent="0.25">
      <c r="A706" s="352"/>
      <c r="B706" s="249"/>
      <c r="C706" s="238"/>
      <c r="D706" s="244"/>
      <c r="E706" s="224">
        <v>2025</v>
      </c>
      <c r="F706" s="157">
        <f t="shared" si="128"/>
        <v>9475</v>
      </c>
      <c r="G706" s="7"/>
      <c r="H706" s="7">
        <v>9156</v>
      </c>
      <c r="I706" s="7">
        <v>319</v>
      </c>
      <c r="J706" s="14"/>
      <c r="K706" s="244"/>
    </row>
    <row r="707" spans="1:35" ht="35.25" customHeight="1" thickBot="1" x14ac:dyDescent="0.25">
      <c r="A707" s="352"/>
      <c r="B707" s="249"/>
      <c r="C707" s="238"/>
      <c r="D707" s="244"/>
      <c r="E707" s="26" t="s">
        <v>18</v>
      </c>
      <c r="F707" s="186">
        <f>SUM(F696:F706)</f>
        <v>85355.999999999985</v>
      </c>
      <c r="G707" s="9"/>
      <c r="H707" s="9">
        <f>SUM(H696:H706)</f>
        <v>82507.8</v>
      </c>
      <c r="I707" s="9">
        <f>SUM(I696:I706)</f>
        <v>2848.2000000000003</v>
      </c>
      <c r="J707" s="22"/>
      <c r="K707" s="244"/>
    </row>
    <row r="708" spans="1:35" ht="18" customHeight="1" thickBot="1" x14ac:dyDescent="0.25">
      <c r="A708" s="353" t="s">
        <v>196</v>
      </c>
      <c r="B708" s="354"/>
      <c r="C708" s="354"/>
      <c r="D708" s="354"/>
      <c r="E708" s="93" t="s">
        <v>61</v>
      </c>
      <c r="F708" s="149">
        <f>F675+F687+F695+F707</f>
        <v>107747.4</v>
      </c>
      <c r="G708" s="149">
        <f>G675+G687+G695+G707</f>
        <v>0</v>
      </c>
      <c r="H708" s="149">
        <f>H675+H687+H695+H707</f>
        <v>103723.3</v>
      </c>
      <c r="I708" s="149">
        <f>I675+I687+I695+I707</f>
        <v>4024.1000000000004</v>
      </c>
      <c r="J708" s="94"/>
      <c r="K708" s="95"/>
      <c r="L708" s="126"/>
      <c r="M708" s="127"/>
    </row>
    <row r="709" spans="1:35" ht="27" customHeight="1" thickBot="1" x14ac:dyDescent="0.25">
      <c r="A709" s="331" t="s">
        <v>197</v>
      </c>
      <c r="B709" s="332"/>
      <c r="C709" s="332"/>
      <c r="D709" s="332"/>
      <c r="E709" s="332"/>
      <c r="F709" s="332"/>
      <c r="G709" s="332"/>
      <c r="H709" s="332"/>
      <c r="I709" s="332"/>
      <c r="J709" s="332"/>
      <c r="K709" s="333"/>
      <c r="L709" s="63"/>
      <c r="M709" s="63"/>
      <c r="N709" s="63"/>
      <c r="O709" s="63"/>
      <c r="P709" s="63"/>
      <c r="Q709" s="63"/>
      <c r="R709" s="63"/>
      <c r="S709" s="63"/>
      <c r="T709" s="63"/>
      <c r="U709" s="63"/>
      <c r="V709" s="63"/>
      <c r="W709" s="63"/>
      <c r="X709" s="63"/>
      <c r="Y709" s="63"/>
      <c r="Z709" s="63"/>
      <c r="AA709" s="63"/>
      <c r="AB709" s="63"/>
      <c r="AC709" s="63"/>
      <c r="AD709" s="63"/>
      <c r="AE709" s="63"/>
      <c r="AF709" s="63"/>
      <c r="AG709" s="63"/>
      <c r="AH709" s="63"/>
      <c r="AI709" s="64"/>
    </row>
    <row r="710" spans="1:35" ht="15" thickBot="1" x14ac:dyDescent="0.25">
      <c r="A710" s="331" t="s">
        <v>198</v>
      </c>
      <c r="B710" s="332"/>
      <c r="C710" s="332"/>
      <c r="D710" s="332"/>
      <c r="E710" s="332"/>
      <c r="F710" s="332"/>
      <c r="G710" s="332"/>
      <c r="H710" s="332"/>
      <c r="I710" s="332"/>
      <c r="J710" s="332"/>
      <c r="K710" s="333"/>
    </row>
    <row r="711" spans="1:35" ht="15" x14ac:dyDescent="0.25">
      <c r="A711" s="245" t="s">
        <v>64</v>
      </c>
      <c r="B711" s="240" t="s">
        <v>88</v>
      </c>
      <c r="C711" s="242" t="s">
        <v>408</v>
      </c>
      <c r="D711" s="349" t="s">
        <v>209</v>
      </c>
      <c r="E711" s="212">
        <v>2015</v>
      </c>
      <c r="F711" s="157">
        <f t="shared" ref="F711:F716" si="129">SUM(G711:I711)</f>
        <v>45</v>
      </c>
      <c r="G711" s="7"/>
      <c r="H711" s="7"/>
      <c r="I711" s="7">
        <v>45</v>
      </c>
      <c r="J711" s="14"/>
      <c r="K711" s="349" t="s">
        <v>165</v>
      </c>
    </row>
    <row r="712" spans="1:35" ht="15" x14ac:dyDescent="0.25">
      <c r="A712" s="246"/>
      <c r="B712" s="241"/>
      <c r="C712" s="243"/>
      <c r="D712" s="238"/>
      <c r="E712" s="212">
        <v>2016</v>
      </c>
      <c r="F712" s="157">
        <f t="shared" si="129"/>
        <v>47</v>
      </c>
      <c r="G712" s="7"/>
      <c r="H712" s="7"/>
      <c r="I712" s="7">
        <v>47</v>
      </c>
      <c r="J712" s="14"/>
      <c r="K712" s="244"/>
    </row>
    <row r="713" spans="1:35" ht="15" x14ac:dyDescent="0.25">
      <c r="A713" s="246"/>
      <c r="B713" s="241"/>
      <c r="C713" s="243"/>
      <c r="D713" s="238"/>
      <c r="E713" s="212">
        <v>2017</v>
      </c>
      <c r="F713" s="157">
        <f t="shared" si="129"/>
        <v>0</v>
      </c>
      <c r="G713" s="7"/>
      <c r="H713" s="7"/>
      <c r="I713" s="7">
        <f>42-42</f>
        <v>0</v>
      </c>
      <c r="J713" s="14"/>
      <c r="K713" s="244"/>
      <c r="L713" s="99"/>
    </row>
    <row r="714" spans="1:35" ht="15" x14ac:dyDescent="0.25">
      <c r="A714" s="246"/>
      <c r="B714" s="241"/>
      <c r="C714" s="243"/>
      <c r="D714" s="238"/>
      <c r="E714" s="212">
        <v>2018</v>
      </c>
      <c r="F714" s="157">
        <f t="shared" si="129"/>
        <v>60</v>
      </c>
      <c r="G714" s="7"/>
      <c r="H714" s="7"/>
      <c r="I714" s="7">
        <f>51+9</f>
        <v>60</v>
      </c>
      <c r="J714" s="14"/>
      <c r="K714" s="244"/>
      <c r="L714" s="106"/>
    </row>
    <row r="715" spans="1:35" ht="15" x14ac:dyDescent="0.25">
      <c r="A715" s="246"/>
      <c r="B715" s="241"/>
      <c r="C715" s="243"/>
      <c r="D715" s="238"/>
      <c r="E715" s="212">
        <v>2019</v>
      </c>
      <c r="F715" s="157">
        <f t="shared" si="129"/>
        <v>135</v>
      </c>
      <c r="G715" s="7"/>
      <c r="H715" s="7"/>
      <c r="I715" s="7">
        <v>135</v>
      </c>
      <c r="J715" s="14"/>
      <c r="K715" s="244"/>
      <c r="L715" s="99"/>
    </row>
    <row r="716" spans="1:35" ht="15" x14ac:dyDescent="0.25">
      <c r="A716" s="246"/>
      <c r="B716" s="241"/>
      <c r="C716" s="243"/>
      <c r="D716" s="238"/>
      <c r="E716" s="212">
        <v>2020</v>
      </c>
      <c r="F716" s="157">
        <f t="shared" si="129"/>
        <v>135</v>
      </c>
      <c r="G716" s="7"/>
      <c r="H716" s="7"/>
      <c r="I716" s="7">
        <v>135</v>
      </c>
      <c r="J716" s="14"/>
      <c r="K716" s="244"/>
    </row>
    <row r="717" spans="1:35" ht="15" x14ac:dyDescent="0.25">
      <c r="A717" s="246"/>
      <c r="B717" s="241"/>
      <c r="C717" s="243"/>
      <c r="D717" s="238"/>
      <c r="E717" s="224">
        <v>2021</v>
      </c>
      <c r="F717" s="157">
        <f t="shared" ref="F717:F721" si="130">SUM(G717:I717)</f>
        <v>135</v>
      </c>
      <c r="G717" s="7"/>
      <c r="H717" s="7"/>
      <c r="I717" s="7">
        <v>135</v>
      </c>
      <c r="J717" s="14"/>
      <c r="K717" s="244"/>
    </row>
    <row r="718" spans="1:35" ht="15" x14ac:dyDescent="0.25">
      <c r="A718" s="246"/>
      <c r="B718" s="241"/>
      <c r="C718" s="243"/>
      <c r="D718" s="238"/>
      <c r="E718" s="224">
        <v>2022</v>
      </c>
      <c r="F718" s="157">
        <f t="shared" si="130"/>
        <v>135</v>
      </c>
      <c r="G718" s="7"/>
      <c r="H718" s="7"/>
      <c r="I718" s="7">
        <v>135</v>
      </c>
      <c r="J718" s="14"/>
      <c r="K718" s="244"/>
      <c r="L718" s="99"/>
    </row>
    <row r="719" spans="1:35" ht="15" x14ac:dyDescent="0.25">
      <c r="A719" s="246"/>
      <c r="B719" s="241"/>
      <c r="C719" s="243"/>
      <c r="D719" s="238"/>
      <c r="E719" s="224">
        <v>2023</v>
      </c>
      <c r="F719" s="157">
        <f t="shared" si="130"/>
        <v>135</v>
      </c>
      <c r="G719" s="7"/>
      <c r="H719" s="7"/>
      <c r="I719" s="7">
        <v>135</v>
      </c>
      <c r="J719" s="14"/>
      <c r="K719" s="244"/>
      <c r="L719" s="106"/>
    </row>
    <row r="720" spans="1:35" ht="15" x14ac:dyDescent="0.25">
      <c r="A720" s="246"/>
      <c r="B720" s="241"/>
      <c r="C720" s="243"/>
      <c r="D720" s="238"/>
      <c r="E720" s="224">
        <v>2024</v>
      </c>
      <c r="F720" s="157">
        <f t="shared" si="130"/>
        <v>135</v>
      </c>
      <c r="G720" s="7"/>
      <c r="H720" s="7"/>
      <c r="I720" s="7">
        <v>135</v>
      </c>
      <c r="J720" s="14"/>
      <c r="K720" s="244"/>
      <c r="L720" s="99"/>
    </row>
    <row r="721" spans="1:12" ht="15" x14ac:dyDescent="0.25">
      <c r="A721" s="246"/>
      <c r="B721" s="241"/>
      <c r="C721" s="243"/>
      <c r="D721" s="238"/>
      <c r="E721" s="224">
        <v>2025</v>
      </c>
      <c r="F721" s="157">
        <f t="shared" si="130"/>
        <v>135</v>
      </c>
      <c r="G721" s="7"/>
      <c r="H721" s="7"/>
      <c r="I721" s="7">
        <v>135</v>
      </c>
      <c r="J721" s="14"/>
      <c r="K721" s="244"/>
    </row>
    <row r="722" spans="1:12" ht="14.25" x14ac:dyDescent="0.2">
      <c r="A722" s="246"/>
      <c r="B722" s="241"/>
      <c r="C722" s="243"/>
      <c r="D722" s="239"/>
      <c r="E722" s="18" t="s">
        <v>18</v>
      </c>
      <c r="F722" s="159">
        <f>SUM(F711:F721)</f>
        <v>1097</v>
      </c>
      <c r="G722" s="8"/>
      <c r="H722" s="8"/>
      <c r="I722" s="8">
        <f>SUM(I711:I721)</f>
        <v>1097</v>
      </c>
      <c r="J722" s="14"/>
      <c r="K722" s="237"/>
    </row>
    <row r="723" spans="1:12" ht="15" x14ac:dyDescent="0.25">
      <c r="A723" s="350" t="s">
        <v>279</v>
      </c>
      <c r="B723" s="240" t="s">
        <v>423</v>
      </c>
      <c r="C723" s="242" t="s">
        <v>408</v>
      </c>
      <c r="D723" s="236" t="s">
        <v>209</v>
      </c>
      <c r="E723" s="212">
        <v>2015</v>
      </c>
      <c r="F723" s="157">
        <f t="shared" ref="F723:F728" si="131">I723</f>
        <v>12</v>
      </c>
      <c r="G723" s="7"/>
      <c r="H723" s="7"/>
      <c r="I723" s="7">
        <v>12</v>
      </c>
      <c r="J723" s="14"/>
      <c r="K723" s="236" t="s">
        <v>166</v>
      </c>
    </row>
    <row r="724" spans="1:12" ht="15" x14ac:dyDescent="0.25">
      <c r="A724" s="351"/>
      <c r="B724" s="241"/>
      <c r="C724" s="243"/>
      <c r="D724" s="238"/>
      <c r="E724" s="212">
        <v>2016</v>
      </c>
      <c r="F724" s="157">
        <f t="shared" si="131"/>
        <v>12.5</v>
      </c>
      <c r="G724" s="7"/>
      <c r="H724" s="7"/>
      <c r="I724" s="7">
        <v>12.5</v>
      </c>
      <c r="J724" s="14"/>
      <c r="K724" s="244"/>
    </row>
    <row r="725" spans="1:12" ht="15" x14ac:dyDescent="0.25">
      <c r="A725" s="351"/>
      <c r="B725" s="241"/>
      <c r="C725" s="243"/>
      <c r="D725" s="238"/>
      <c r="E725" s="212">
        <v>2017</v>
      </c>
      <c r="F725" s="157">
        <f t="shared" si="131"/>
        <v>0</v>
      </c>
      <c r="G725" s="7"/>
      <c r="H725" s="7"/>
      <c r="I725" s="7">
        <f>9.3-9.3</f>
        <v>0</v>
      </c>
      <c r="J725" s="14"/>
      <c r="K725" s="244"/>
      <c r="L725" s="106"/>
    </row>
    <row r="726" spans="1:12" ht="15" x14ac:dyDescent="0.25">
      <c r="A726" s="351"/>
      <c r="B726" s="241"/>
      <c r="C726" s="243"/>
      <c r="D726" s="238"/>
      <c r="E726" s="212">
        <v>2018</v>
      </c>
      <c r="F726" s="157">
        <f t="shared" si="131"/>
        <v>0</v>
      </c>
      <c r="G726" s="7"/>
      <c r="H726" s="7"/>
      <c r="I726" s="7">
        <v>0</v>
      </c>
      <c r="J726" s="14"/>
      <c r="K726" s="244"/>
      <c r="L726" s="99"/>
    </row>
    <row r="727" spans="1:12" ht="15" x14ac:dyDescent="0.25">
      <c r="A727" s="351"/>
      <c r="B727" s="241"/>
      <c r="C727" s="243"/>
      <c r="D727" s="238"/>
      <c r="E727" s="212">
        <v>2019</v>
      </c>
      <c r="F727" s="157">
        <f t="shared" si="131"/>
        <v>14</v>
      </c>
      <c r="G727" s="7"/>
      <c r="H727" s="7"/>
      <c r="I727" s="7">
        <v>14</v>
      </c>
      <c r="J727" s="14"/>
      <c r="K727" s="244"/>
      <c r="L727" s="99"/>
    </row>
    <row r="728" spans="1:12" ht="15" x14ac:dyDescent="0.25">
      <c r="A728" s="351"/>
      <c r="B728" s="241"/>
      <c r="C728" s="243"/>
      <c r="D728" s="238"/>
      <c r="E728" s="212">
        <v>2020</v>
      </c>
      <c r="F728" s="157">
        <f t="shared" si="131"/>
        <v>14</v>
      </c>
      <c r="G728" s="7"/>
      <c r="H728" s="7"/>
      <c r="I728" s="7">
        <v>14</v>
      </c>
      <c r="J728" s="14"/>
      <c r="K728" s="244"/>
    </row>
    <row r="729" spans="1:12" ht="15" x14ac:dyDescent="0.25">
      <c r="A729" s="351"/>
      <c r="B729" s="241"/>
      <c r="C729" s="243"/>
      <c r="D729" s="238"/>
      <c r="E729" s="224">
        <v>2021</v>
      </c>
      <c r="F729" s="157">
        <f t="shared" ref="F729:F733" si="132">I729</f>
        <v>14</v>
      </c>
      <c r="G729" s="7"/>
      <c r="H729" s="7"/>
      <c r="I729" s="7">
        <v>14</v>
      </c>
      <c r="J729" s="14"/>
      <c r="K729" s="244"/>
    </row>
    <row r="730" spans="1:12" ht="15" x14ac:dyDescent="0.25">
      <c r="A730" s="351"/>
      <c r="B730" s="241"/>
      <c r="C730" s="243"/>
      <c r="D730" s="238"/>
      <c r="E730" s="224">
        <v>2022</v>
      </c>
      <c r="F730" s="157">
        <f t="shared" si="132"/>
        <v>14</v>
      </c>
      <c r="G730" s="7"/>
      <c r="H730" s="7"/>
      <c r="I730" s="7">
        <v>14</v>
      </c>
      <c r="J730" s="14"/>
      <c r="K730" s="244"/>
      <c r="L730" s="106"/>
    </row>
    <row r="731" spans="1:12" ht="15" x14ac:dyDescent="0.25">
      <c r="A731" s="351"/>
      <c r="B731" s="241"/>
      <c r="C731" s="243"/>
      <c r="D731" s="238"/>
      <c r="E731" s="224">
        <v>2023</v>
      </c>
      <c r="F731" s="157">
        <f t="shared" si="132"/>
        <v>14</v>
      </c>
      <c r="G731" s="7"/>
      <c r="H731" s="7"/>
      <c r="I731" s="7">
        <v>14</v>
      </c>
      <c r="J731" s="14"/>
      <c r="K731" s="244"/>
      <c r="L731" s="99"/>
    </row>
    <row r="732" spans="1:12" ht="15" x14ac:dyDescent="0.25">
      <c r="A732" s="351"/>
      <c r="B732" s="241"/>
      <c r="C732" s="243"/>
      <c r="D732" s="238"/>
      <c r="E732" s="224">
        <v>2024</v>
      </c>
      <c r="F732" s="157">
        <f t="shared" si="132"/>
        <v>14</v>
      </c>
      <c r="G732" s="7"/>
      <c r="H732" s="7"/>
      <c r="I732" s="7">
        <v>14</v>
      </c>
      <c r="J732" s="14"/>
      <c r="K732" s="244"/>
      <c r="L732" s="99"/>
    </row>
    <row r="733" spans="1:12" ht="15" x14ac:dyDescent="0.25">
      <c r="A733" s="351"/>
      <c r="B733" s="241"/>
      <c r="C733" s="243"/>
      <c r="D733" s="238"/>
      <c r="E733" s="224">
        <v>2025</v>
      </c>
      <c r="F733" s="157">
        <f t="shared" si="132"/>
        <v>14</v>
      </c>
      <c r="G733" s="7"/>
      <c r="H733" s="7"/>
      <c r="I733" s="7">
        <v>14</v>
      </c>
      <c r="J733" s="14"/>
      <c r="K733" s="244"/>
    </row>
    <row r="734" spans="1:12" ht="14.25" x14ac:dyDescent="0.2">
      <c r="A734" s="351"/>
      <c r="B734" s="241"/>
      <c r="C734" s="243"/>
      <c r="D734" s="239"/>
      <c r="E734" s="18" t="s">
        <v>18</v>
      </c>
      <c r="F734" s="159">
        <f>SUM(F723:F733)</f>
        <v>122.5</v>
      </c>
      <c r="G734" s="8"/>
      <c r="H734" s="8"/>
      <c r="I734" s="8">
        <f>SUM(I723:I733)</f>
        <v>122.5</v>
      </c>
      <c r="J734" s="14"/>
      <c r="K734" s="237"/>
    </row>
    <row r="735" spans="1:12" x14ac:dyDescent="0.2">
      <c r="A735" s="350" t="s">
        <v>287</v>
      </c>
      <c r="B735" s="240" t="s">
        <v>89</v>
      </c>
      <c r="C735" s="242" t="s">
        <v>61</v>
      </c>
      <c r="D735" s="236" t="s">
        <v>209</v>
      </c>
      <c r="E735" s="212">
        <v>2015</v>
      </c>
      <c r="F735" s="72"/>
      <c r="G735" s="2"/>
      <c r="H735" s="2"/>
      <c r="I735" s="2"/>
      <c r="J735" s="2"/>
      <c r="K735" s="236" t="s">
        <v>167</v>
      </c>
    </row>
    <row r="736" spans="1:12" x14ac:dyDescent="0.2">
      <c r="A736" s="351"/>
      <c r="B736" s="241"/>
      <c r="C736" s="243"/>
      <c r="D736" s="238"/>
      <c r="E736" s="212">
        <v>2016</v>
      </c>
      <c r="F736" s="72"/>
      <c r="G736" s="2"/>
      <c r="H736" s="2"/>
      <c r="I736" s="2"/>
      <c r="J736" s="2"/>
      <c r="K736" s="244"/>
    </row>
    <row r="737" spans="1:35" x14ac:dyDescent="0.2">
      <c r="A737" s="351"/>
      <c r="B737" s="241"/>
      <c r="C737" s="243"/>
      <c r="D737" s="238"/>
      <c r="E737" s="212">
        <v>2017</v>
      </c>
      <c r="F737" s="72"/>
      <c r="G737" s="2"/>
      <c r="H737" s="2"/>
      <c r="I737" s="2"/>
      <c r="J737" s="2"/>
      <c r="K737" s="244"/>
    </row>
    <row r="738" spans="1:35" x14ac:dyDescent="0.2">
      <c r="A738" s="351"/>
      <c r="B738" s="241"/>
      <c r="C738" s="243"/>
      <c r="D738" s="238"/>
      <c r="E738" s="212">
        <v>2018</v>
      </c>
      <c r="F738" s="72"/>
      <c r="G738" s="2"/>
      <c r="H738" s="2"/>
      <c r="I738" s="2"/>
      <c r="J738" s="2"/>
      <c r="K738" s="244"/>
      <c r="L738" s="106"/>
    </row>
    <row r="739" spans="1:35" x14ac:dyDescent="0.2">
      <c r="A739" s="351"/>
      <c r="B739" s="241"/>
      <c r="C739" s="243"/>
      <c r="D739" s="238"/>
      <c r="E739" s="212">
        <v>2019</v>
      </c>
      <c r="F739" s="72"/>
      <c r="G739" s="2"/>
      <c r="H739" s="2"/>
      <c r="I739" s="2"/>
      <c r="J739" s="2"/>
      <c r="K739" s="244"/>
    </row>
    <row r="740" spans="1:35" x14ac:dyDescent="0.2">
      <c r="A740" s="351"/>
      <c r="B740" s="241"/>
      <c r="C740" s="243"/>
      <c r="D740" s="238"/>
      <c r="E740" s="212">
        <v>2020</v>
      </c>
      <c r="F740" s="72"/>
      <c r="G740" s="2"/>
      <c r="H740" s="2"/>
      <c r="I740" s="2"/>
      <c r="J740" s="2"/>
      <c r="K740" s="244"/>
    </row>
    <row r="741" spans="1:35" x14ac:dyDescent="0.2">
      <c r="A741" s="351"/>
      <c r="B741" s="241"/>
      <c r="C741" s="243"/>
      <c r="D741" s="239"/>
      <c r="E741" s="18" t="s">
        <v>18</v>
      </c>
      <c r="F741" s="72"/>
      <c r="G741" s="2"/>
      <c r="H741" s="2"/>
      <c r="I741" s="2"/>
      <c r="J741" s="2"/>
      <c r="K741" s="237"/>
    </row>
    <row r="742" spans="1:35" ht="12.75" customHeight="1" x14ac:dyDescent="0.2">
      <c r="A742" s="350" t="s">
        <v>288</v>
      </c>
      <c r="B742" s="240" t="s">
        <v>90</v>
      </c>
      <c r="C742" s="242" t="s">
        <v>61</v>
      </c>
      <c r="D742" s="236" t="s">
        <v>209</v>
      </c>
      <c r="E742" s="212">
        <v>2015</v>
      </c>
      <c r="F742" s="72"/>
      <c r="G742" s="2"/>
      <c r="H742" s="2"/>
      <c r="I742" s="2"/>
      <c r="J742" s="2"/>
      <c r="K742" s="236" t="s">
        <v>168</v>
      </c>
    </row>
    <row r="743" spans="1:35" x14ac:dyDescent="0.2">
      <c r="A743" s="351"/>
      <c r="B743" s="241"/>
      <c r="C743" s="243"/>
      <c r="D743" s="238"/>
      <c r="E743" s="212">
        <v>2016</v>
      </c>
      <c r="F743" s="72"/>
      <c r="G743" s="2"/>
      <c r="H743" s="2"/>
      <c r="I743" s="2"/>
      <c r="J743" s="2"/>
      <c r="K743" s="244"/>
    </row>
    <row r="744" spans="1:35" x14ac:dyDescent="0.2">
      <c r="A744" s="351"/>
      <c r="B744" s="241"/>
      <c r="C744" s="243"/>
      <c r="D744" s="238"/>
      <c r="E744" s="212">
        <v>2017</v>
      </c>
      <c r="F744" s="72"/>
      <c r="G744" s="2"/>
      <c r="H744" s="2"/>
      <c r="I744" s="2"/>
      <c r="J744" s="2"/>
      <c r="K744" s="244"/>
    </row>
    <row r="745" spans="1:35" x14ac:dyDescent="0.2">
      <c r="A745" s="351"/>
      <c r="B745" s="241"/>
      <c r="C745" s="243"/>
      <c r="D745" s="238"/>
      <c r="E745" s="212">
        <v>2018</v>
      </c>
      <c r="F745" s="72"/>
      <c r="G745" s="2"/>
      <c r="H745" s="2"/>
      <c r="I745" s="2"/>
      <c r="J745" s="2"/>
      <c r="K745" s="244"/>
      <c r="L745" s="106"/>
    </row>
    <row r="746" spans="1:35" x14ac:dyDescent="0.2">
      <c r="A746" s="351"/>
      <c r="B746" s="241"/>
      <c r="C746" s="243"/>
      <c r="D746" s="238"/>
      <c r="E746" s="212">
        <v>2019</v>
      </c>
      <c r="F746" s="72"/>
      <c r="G746" s="2"/>
      <c r="H746" s="2"/>
      <c r="I746" s="2"/>
      <c r="J746" s="2"/>
      <c r="K746" s="244"/>
    </row>
    <row r="747" spans="1:35" x14ac:dyDescent="0.2">
      <c r="A747" s="351"/>
      <c r="B747" s="241"/>
      <c r="C747" s="243"/>
      <c r="D747" s="238"/>
      <c r="E747" s="212">
        <v>2020</v>
      </c>
      <c r="F747" s="72"/>
      <c r="G747" s="2"/>
      <c r="H747" s="2"/>
      <c r="I747" s="2"/>
      <c r="J747" s="2"/>
      <c r="K747" s="244"/>
    </row>
    <row r="748" spans="1:35" ht="24.75" customHeight="1" x14ac:dyDescent="0.2">
      <c r="A748" s="351"/>
      <c r="B748" s="241"/>
      <c r="C748" s="243"/>
      <c r="D748" s="239"/>
      <c r="E748" s="18" t="s">
        <v>18</v>
      </c>
      <c r="F748" s="72"/>
      <c r="G748" s="2"/>
      <c r="H748" s="2"/>
      <c r="I748" s="2"/>
      <c r="J748" s="2"/>
      <c r="K748" s="244"/>
      <c r="L748" s="135"/>
      <c r="M748" s="127"/>
    </row>
    <row r="749" spans="1:35" ht="15.75" customHeight="1" thickBot="1" x14ac:dyDescent="0.25">
      <c r="A749" s="334" t="s">
        <v>199</v>
      </c>
      <c r="B749" s="335"/>
      <c r="C749" s="335"/>
      <c r="D749" s="335"/>
      <c r="E749" s="6" t="s">
        <v>61</v>
      </c>
      <c r="F749" s="146">
        <f>F722+F734</f>
        <v>1219.5</v>
      </c>
      <c r="G749" s="146"/>
      <c r="H749" s="146">
        <f>H722+H734+H741+H748</f>
        <v>0</v>
      </c>
      <c r="I749" s="146">
        <f>I722+I734+I741+I748</f>
        <v>1219.5</v>
      </c>
      <c r="J749" s="15"/>
      <c r="K749" s="216"/>
    </row>
    <row r="750" spans="1:35" ht="31.5" customHeight="1" thickBot="1" x14ac:dyDescent="0.25">
      <c r="A750" s="303" t="s">
        <v>200</v>
      </c>
      <c r="B750" s="304"/>
      <c r="C750" s="304"/>
      <c r="D750" s="304"/>
      <c r="E750" s="304"/>
      <c r="F750" s="304"/>
      <c r="G750" s="304"/>
      <c r="H750" s="304"/>
      <c r="I750" s="304"/>
      <c r="J750" s="304"/>
      <c r="K750" s="304"/>
      <c r="L750" s="73"/>
      <c r="M750" s="73"/>
      <c r="N750" s="73"/>
      <c r="O750" s="73"/>
      <c r="P750" s="73"/>
      <c r="Q750" s="73"/>
      <c r="R750" s="73"/>
      <c r="S750" s="73"/>
      <c r="T750" s="73"/>
      <c r="U750" s="73"/>
      <c r="V750" s="73"/>
      <c r="W750" s="73"/>
      <c r="X750" s="73"/>
      <c r="Y750" s="73"/>
      <c r="Z750" s="73"/>
      <c r="AA750" s="73"/>
      <c r="AB750" s="73"/>
      <c r="AC750" s="73"/>
      <c r="AD750" s="73"/>
      <c r="AE750" s="73"/>
      <c r="AF750" s="73"/>
      <c r="AG750" s="73"/>
      <c r="AH750" s="73"/>
      <c r="AI750" s="74"/>
    </row>
    <row r="751" spans="1:35" ht="30" customHeight="1" thickBot="1" x14ac:dyDescent="0.25">
      <c r="A751" s="247" t="s">
        <v>201</v>
      </c>
      <c r="B751" s="366"/>
      <c r="C751" s="366"/>
      <c r="D751" s="367"/>
      <c r="E751" s="367"/>
      <c r="F751" s="367"/>
      <c r="G751" s="367"/>
      <c r="H751" s="367"/>
      <c r="I751" s="367"/>
      <c r="J751" s="367"/>
      <c r="K751" s="367"/>
      <c r="L751" s="75"/>
      <c r="M751" s="75"/>
      <c r="N751" s="75"/>
      <c r="O751" s="75"/>
      <c r="P751" s="75"/>
      <c r="Q751" s="75"/>
      <c r="R751" s="75"/>
      <c r="S751" s="75"/>
      <c r="T751" s="75"/>
      <c r="U751" s="75"/>
      <c r="V751" s="75"/>
      <c r="W751" s="75"/>
      <c r="X751" s="75"/>
      <c r="Y751" s="75"/>
      <c r="Z751" s="75"/>
      <c r="AA751" s="75"/>
      <c r="AB751" s="75"/>
      <c r="AC751" s="75"/>
      <c r="AD751" s="75"/>
      <c r="AE751" s="75"/>
      <c r="AF751" s="75"/>
      <c r="AG751" s="75"/>
      <c r="AH751" s="75"/>
      <c r="AI751" s="76"/>
    </row>
    <row r="752" spans="1:35" ht="15" x14ac:dyDescent="0.25">
      <c r="A752" s="364" t="s">
        <v>91</v>
      </c>
      <c r="B752" s="240" t="s">
        <v>92</v>
      </c>
      <c r="C752" s="242" t="s">
        <v>408</v>
      </c>
      <c r="D752" s="277" t="s">
        <v>209</v>
      </c>
      <c r="E752" s="212">
        <v>2015</v>
      </c>
      <c r="F752" s="156">
        <f t="shared" ref="F752:F757" si="133">SUM(G752:I752)</f>
        <v>170</v>
      </c>
      <c r="G752" s="7"/>
      <c r="H752" s="7"/>
      <c r="I752" s="7">
        <v>170</v>
      </c>
      <c r="J752" s="14"/>
      <c r="K752" s="277" t="s">
        <v>169</v>
      </c>
    </row>
    <row r="753" spans="1:12" ht="15" x14ac:dyDescent="0.25">
      <c r="A753" s="365"/>
      <c r="B753" s="241"/>
      <c r="C753" s="243"/>
      <c r="D753" s="243"/>
      <c r="E753" s="212">
        <v>2016</v>
      </c>
      <c r="F753" s="156">
        <f t="shared" si="133"/>
        <v>179.9</v>
      </c>
      <c r="G753" s="7"/>
      <c r="H753" s="7"/>
      <c r="I753" s="7">
        <f>180-0.1</f>
        <v>179.9</v>
      </c>
      <c r="J753" s="14"/>
      <c r="K753" s="277"/>
    </row>
    <row r="754" spans="1:12" ht="15" x14ac:dyDescent="0.25">
      <c r="A754" s="365"/>
      <c r="B754" s="241"/>
      <c r="C754" s="243"/>
      <c r="D754" s="243"/>
      <c r="E754" s="212">
        <v>2017</v>
      </c>
      <c r="F754" s="156">
        <f t="shared" si="133"/>
        <v>155</v>
      </c>
      <c r="G754" s="7"/>
      <c r="H754" s="7"/>
      <c r="I754" s="7">
        <v>155</v>
      </c>
      <c r="J754" s="14"/>
      <c r="K754" s="277"/>
      <c r="L754" s="106"/>
    </row>
    <row r="755" spans="1:12" ht="15" x14ac:dyDescent="0.25">
      <c r="A755" s="365"/>
      <c r="B755" s="241"/>
      <c r="C755" s="243"/>
      <c r="D755" s="243"/>
      <c r="E755" s="212">
        <v>2018</v>
      </c>
      <c r="F755" s="156">
        <f t="shared" si="133"/>
        <v>121.8</v>
      </c>
      <c r="G755" s="7"/>
      <c r="H755" s="7"/>
      <c r="I755" s="7">
        <f>149-9-18.2</f>
        <v>121.8</v>
      </c>
      <c r="J755" s="14"/>
      <c r="K755" s="277"/>
      <c r="L755" s="99"/>
    </row>
    <row r="756" spans="1:12" ht="15" x14ac:dyDescent="0.25">
      <c r="A756" s="365"/>
      <c r="B756" s="241"/>
      <c r="C756" s="243"/>
      <c r="D756" s="243"/>
      <c r="E756" s="212">
        <v>2019</v>
      </c>
      <c r="F756" s="156">
        <f t="shared" si="133"/>
        <v>111</v>
      </c>
      <c r="G756" s="7"/>
      <c r="H756" s="7"/>
      <c r="I756" s="7">
        <v>111</v>
      </c>
      <c r="J756" s="14"/>
      <c r="K756" s="277"/>
      <c r="L756" s="99"/>
    </row>
    <row r="757" spans="1:12" ht="15" x14ac:dyDescent="0.25">
      <c r="A757" s="365"/>
      <c r="B757" s="241"/>
      <c r="C757" s="243"/>
      <c r="D757" s="243"/>
      <c r="E757" s="212">
        <v>2020</v>
      </c>
      <c r="F757" s="156">
        <f t="shared" si="133"/>
        <v>111</v>
      </c>
      <c r="G757" s="7"/>
      <c r="H757" s="7"/>
      <c r="I757" s="7">
        <v>111</v>
      </c>
      <c r="J757" s="14"/>
      <c r="K757" s="277"/>
    </row>
    <row r="758" spans="1:12" ht="15" x14ac:dyDescent="0.25">
      <c r="A758" s="365"/>
      <c r="B758" s="241"/>
      <c r="C758" s="243"/>
      <c r="D758" s="243"/>
      <c r="E758" s="224">
        <v>2021</v>
      </c>
      <c r="F758" s="156">
        <f t="shared" ref="F758:F762" si="134">SUM(G758:I758)</f>
        <v>111</v>
      </c>
      <c r="G758" s="7"/>
      <c r="H758" s="7"/>
      <c r="I758" s="7">
        <v>111</v>
      </c>
      <c r="J758" s="14"/>
      <c r="K758" s="277"/>
    </row>
    <row r="759" spans="1:12" ht="15" x14ac:dyDescent="0.25">
      <c r="A759" s="365"/>
      <c r="B759" s="241"/>
      <c r="C759" s="243"/>
      <c r="D759" s="243"/>
      <c r="E759" s="224">
        <v>2022</v>
      </c>
      <c r="F759" s="156">
        <f t="shared" si="134"/>
        <v>111</v>
      </c>
      <c r="G759" s="7"/>
      <c r="H759" s="7"/>
      <c r="I759" s="7">
        <v>111</v>
      </c>
      <c r="J759" s="14"/>
      <c r="K759" s="277"/>
      <c r="L759" s="106"/>
    </row>
    <row r="760" spans="1:12" ht="15" x14ac:dyDescent="0.25">
      <c r="A760" s="365"/>
      <c r="B760" s="241"/>
      <c r="C760" s="243"/>
      <c r="D760" s="243"/>
      <c r="E760" s="224">
        <v>2023</v>
      </c>
      <c r="F760" s="156">
        <f t="shared" si="134"/>
        <v>111</v>
      </c>
      <c r="G760" s="7"/>
      <c r="H760" s="7"/>
      <c r="I760" s="7">
        <v>111</v>
      </c>
      <c r="J760" s="14"/>
      <c r="K760" s="277"/>
      <c r="L760" s="99"/>
    </row>
    <row r="761" spans="1:12" ht="15" x14ac:dyDescent="0.25">
      <c r="A761" s="365"/>
      <c r="B761" s="241"/>
      <c r="C761" s="243"/>
      <c r="D761" s="243"/>
      <c r="E761" s="224">
        <v>2024</v>
      </c>
      <c r="F761" s="156">
        <f t="shared" si="134"/>
        <v>111</v>
      </c>
      <c r="G761" s="7"/>
      <c r="H761" s="7"/>
      <c r="I761" s="7">
        <v>111</v>
      </c>
      <c r="J761" s="14"/>
      <c r="K761" s="277"/>
      <c r="L761" s="99"/>
    </row>
    <row r="762" spans="1:12" ht="15" x14ac:dyDescent="0.25">
      <c r="A762" s="365"/>
      <c r="B762" s="241"/>
      <c r="C762" s="243"/>
      <c r="D762" s="243"/>
      <c r="E762" s="224">
        <v>2025</v>
      </c>
      <c r="F762" s="156">
        <f t="shared" si="134"/>
        <v>111</v>
      </c>
      <c r="G762" s="7"/>
      <c r="H762" s="7"/>
      <c r="I762" s="7">
        <v>111</v>
      </c>
      <c r="J762" s="14"/>
      <c r="K762" s="277"/>
    </row>
    <row r="763" spans="1:12" ht="14.25" x14ac:dyDescent="0.2">
      <c r="A763" s="365"/>
      <c r="B763" s="241"/>
      <c r="C763" s="243"/>
      <c r="D763" s="243"/>
      <c r="E763" s="18" t="s">
        <v>18</v>
      </c>
      <c r="F763" s="140">
        <f>SUM(F752:F762)</f>
        <v>1403.6999999999998</v>
      </c>
      <c r="G763" s="8"/>
      <c r="H763" s="8"/>
      <c r="I763" s="8">
        <f>SUM(I752:I762)</f>
        <v>1403.6999999999998</v>
      </c>
      <c r="J763" s="14"/>
      <c r="K763" s="277"/>
    </row>
    <row r="764" spans="1:12" x14ac:dyDescent="0.2">
      <c r="A764" s="363" t="s">
        <v>67</v>
      </c>
      <c r="B764" s="524" t="s">
        <v>93</v>
      </c>
      <c r="C764" s="235" t="s">
        <v>61</v>
      </c>
      <c r="D764" s="244" t="s">
        <v>209</v>
      </c>
      <c r="E764" s="213">
        <v>2015</v>
      </c>
      <c r="F764" s="187"/>
      <c r="G764" s="12"/>
      <c r="H764" s="12"/>
      <c r="I764" s="12"/>
      <c r="J764" s="12"/>
      <c r="K764" s="244" t="s">
        <v>170</v>
      </c>
    </row>
    <row r="765" spans="1:12" x14ac:dyDescent="0.2">
      <c r="A765" s="351"/>
      <c r="B765" s="358"/>
      <c r="C765" s="243"/>
      <c r="D765" s="238"/>
      <c r="E765" s="212">
        <v>2016</v>
      </c>
      <c r="F765" s="77"/>
      <c r="G765" s="14"/>
      <c r="H765" s="14"/>
      <c r="I765" s="14"/>
      <c r="J765" s="14"/>
      <c r="K765" s="244"/>
    </row>
    <row r="766" spans="1:12" x14ac:dyDescent="0.2">
      <c r="A766" s="351"/>
      <c r="B766" s="358"/>
      <c r="C766" s="243"/>
      <c r="D766" s="238"/>
      <c r="E766" s="212">
        <v>2017</v>
      </c>
      <c r="F766" s="77"/>
      <c r="G766" s="14"/>
      <c r="H766" s="14"/>
      <c r="I766" s="14"/>
      <c r="J766" s="14"/>
      <c r="K766" s="244"/>
      <c r="L766" s="106"/>
    </row>
    <row r="767" spans="1:12" x14ac:dyDescent="0.2">
      <c r="A767" s="351"/>
      <c r="B767" s="358"/>
      <c r="C767" s="243"/>
      <c r="D767" s="238"/>
      <c r="E767" s="212">
        <v>2018</v>
      </c>
      <c r="F767" s="77"/>
      <c r="G767" s="14"/>
      <c r="H767" s="14"/>
      <c r="I767" s="14"/>
      <c r="J767" s="14"/>
      <c r="K767" s="244"/>
    </row>
    <row r="768" spans="1:12" x14ac:dyDescent="0.2">
      <c r="A768" s="351"/>
      <c r="B768" s="358"/>
      <c r="C768" s="243"/>
      <c r="D768" s="238"/>
      <c r="E768" s="212">
        <v>2019</v>
      </c>
      <c r="F768" s="77"/>
      <c r="G768" s="14"/>
      <c r="H768" s="14"/>
      <c r="I768" s="14"/>
      <c r="J768" s="14"/>
      <c r="K768" s="244"/>
    </row>
    <row r="769" spans="1:35" x14ac:dyDescent="0.2">
      <c r="A769" s="351"/>
      <c r="B769" s="358"/>
      <c r="C769" s="243"/>
      <c r="D769" s="238"/>
      <c r="E769" s="212">
        <v>2020</v>
      </c>
      <c r="F769" s="77"/>
      <c r="G769" s="14"/>
      <c r="H769" s="14"/>
      <c r="I769" s="14"/>
      <c r="J769" s="14"/>
      <c r="K769" s="244"/>
    </row>
    <row r="770" spans="1:35" x14ac:dyDescent="0.2">
      <c r="A770" s="355"/>
      <c r="B770" s="358"/>
      <c r="C770" s="317"/>
      <c r="D770" s="239"/>
      <c r="E770" s="26" t="s">
        <v>18</v>
      </c>
      <c r="F770" s="78"/>
      <c r="G770" s="22"/>
      <c r="H770" s="22"/>
      <c r="I770" s="22"/>
      <c r="J770" s="22"/>
      <c r="K770" s="244"/>
    </row>
    <row r="771" spans="1:35" ht="15.75" customHeight="1" thickBot="1" x14ac:dyDescent="0.25">
      <c r="A771" s="334" t="s">
        <v>187</v>
      </c>
      <c r="B771" s="335"/>
      <c r="C771" s="335"/>
      <c r="D771" s="335"/>
      <c r="E771" s="6" t="s">
        <v>61</v>
      </c>
      <c r="F771" s="146">
        <f>F763+F770</f>
        <v>1403.6999999999998</v>
      </c>
      <c r="G771" s="146"/>
      <c r="H771" s="146">
        <f>H763+H770</f>
        <v>0</v>
      </c>
      <c r="I771" s="146">
        <f>I763+I770</f>
        <v>1403.6999999999998</v>
      </c>
      <c r="J771" s="17"/>
      <c r="K771" s="92"/>
      <c r="M771" s="126"/>
      <c r="N771" s="127"/>
    </row>
    <row r="772" spans="1:35" ht="18" customHeight="1" thickBot="1" x14ac:dyDescent="0.25">
      <c r="A772" s="368" t="s">
        <v>202</v>
      </c>
      <c r="B772" s="369"/>
      <c r="C772" s="369"/>
      <c r="D772" s="369"/>
      <c r="E772" s="369"/>
      <c r="F772" s="369"/>
      <c r="G772" s="369"/>
      <c r="H772" s="369"/>
      <c r="I772" s="369"/>
      <c r="J772" s="369"/>
      <c r="K772" s="370"/>
      <c r="L772" s="63"/>
      <c r="M772" s="63"/>
      <c r="N772" s="63"/>
      <c r="O772" s="63"/>
      <c r="P772" s="63"/>
      <c r="Q772" s="63"/>
      <c r="R772" s="63"/>
      <c r="S772" s="63"/>
      <c r="T772" s="63"/>
      <c r="U772" s="63"/>
      <c r="V772" s="63"/>
      <c r="W772" s="63"/>
      <c r="X772" s="63"/>
      <c r="Y772" s="63"/>
      <c r="Z772" s="63"/>
      <c r="AA772" s="63"/>
      <c r="AB772" s="63"/>
      <c r="AC772" s="63"/>
      <c r="AD772" s="63"/>
      <c r="AE772" s="63"/>
      <c r="AF772" s="63"/>
      <c r="AG772" s="63"/>
      <c r="AH772" s="63"/>
      <c r="AI772" s="64"/>
    </row>
    <row r="773" spans="1:35" ht="15" thickBot="1" x14ac:dyDescent="0.25">
      <c r="A773" s="331" t="s">
        <v>76</v>
      </c>
      <c r="B773" s="371"/>
      <c r="C773" s="371"/>
      <c r="D773" s="371"/>
      <c r="E773" s="371"/>
      <c r="F773" s="371"/>
      <c r="G773" s="371"/>
      <c r="H773" s="371"/>
      <c r="I773" s="371"/>
      <c r="J773" s="371"/>
      <c r="K773" s="372"/>
      <c r="L773" s="79"/>
      <c r="M773" s="79"/>
      <c r="N773" s="79"/>
      <c r="O773" s="79"/>
      <c r="P773" s="79"/>
      <c r="Q773" s="79"/>
      <c r="R773" s="79"/>
      <c r="S773" s="79"/>
      <c r="T773" s="79"/>
      <c r="U773" s="79"/>
      <c r="V773" s="79"/>
      <c r="W773" s="79"/>
      <c r="X773" s="79"/>
      <c r="Y773" s="79"/>
      <c r="Z773" s="79"/>
      <c r="AA773" s="79"/>
      <c r="AB773" s="79"/>
      <c r="AC773" s="79"/>
      <c r="AD773" s="79"/>
      <c r="AE773" s="79"/>
      <c r="AF773" s="79"/>
      <c r="AG773" s="79"/>
      <c r="AH773" s="79"/>
      <c r="AI773" s="80"/>
    </row>
    <row r="774" spans="1:35" ht="15" x14ac:dyDescent="0.25">
      <c r="A774" s="363" t="s">
        <v>77</v>
      </c>
      <c r="B774" s="253" t="s">
        <v>94</v>
      </c>
      <c r="C774" s="237" t="s">
        <v>408</v>
      </c>
      <c r="D774" s="244" t="s">
        <v>209</v>
      </c>
      <c r="E774" s="213">
        <v>2015</v>
      </c>
      <c r="F774" s="160">
        <f t="shared" ref="F774:F779" si="135">SUM(G774:I774)</f>
        <v>5</v>
      </c>
      <c r="G774" s="143"/>
      <c r="H774" s="143"/>
      <c r="I774" s="143">
        <v>5</v>
      </c>
      <c r="J774" s="12"/>
      <c r="K774" s="244" t="s">
        <v>171</v>
      </c>
    </row>
    <row r="775" spans="1:35" ht="15" x14ac:dyDescent="0.25">
      <c r="A775" s="351"/>
      <c r="B775" s="241"/>
      <c r="C775" s="356"/>
      <c r="D775" s="238"/>
      <c r="E775" s="212">
        <v>2016</v>
      </c>
      <c r="F775" s="157">
        <f t="shared" si="135"/>
        <v>6</v>
      </c>
      <c r="G775" s="7"/>
      <c r="H775" s="7"/>
      <c r="I775" s="7">
        <v>6</v>
      </c>
      <c r="J775" s="14"/>
      <c r="K775" s="244"/>
    </row>
    <row r="776" spans="1:35" ht="15" x14ac:dyDescent="0.25">
      <c r="A776" s="351"/>
      <c r="B776" s="241"/>
      <c r="C776" s="356"/>
      <c r="D776" s="238"/>
      <c r="E776" s="212">
        <v>2017</v>
      </c>
      <c r="F776" s="157">
        <f t="shared" si="135"/>
        <v>5</v>
      </c>
      <c r="G776" s="7"/>
      <c r="H776" s="7"/>
      <c r="I776" s="7">
        <v>5</v>
      </c>
      <c r="J776" s="14"/>
      <c r="K776" s="244"/>
      <c r="L776" s="99"/>
    </row>
    <row r="777" spans="1:35" ht="15" x14ac:dyDescent="0.25">
      <c r="A777" s="351"/>
      <c r="B777" s="241"/>
      <c r="C777" s="356"/>
      <c r="D777" s="238"/>
      <c r="E777" s="212">
        <v>2018</v>
      </c>
      <c r="F777" s="157">
        <f t="shared" si="135"/>
        <v>7</v>
      </c>
      <c r="G777" s="7"/>
      <c r="H777" s="7"/>
      <c r="I777" s="7">
        <v>7</v>
      </c>
      <c r="J777" s="14"/>
      <c r="K777" s="244"/>
      <c r="L777" s="106"/>
    </row>
    <row r="778" spans="1:35" ht="15" x14ac:dyDescent="0.25">
      <c r="A778" s="351"/>
      <c r="B778" s="241"/>
      <c r="C778" s="356"/>
      <c r="D778" s="238"/>
      <c r="E778" s="212">
        <v>2019</v>
      </c>
      <c r="F778" s="157">
        <f t="shared" si="135"/>
        <v>7.5</v>
      </c>
      <c r="G778" s="7"/>
      <c r="H778" s="7"/>
      <c r="I778" s="7">
        <v>7.5</v>
      </c>
      <c r="J778" s="14"/>
      <c r="K778" s="244"/>
      <c r="L778" s="99"/>
    </row>
    <row r="779" spans="1:35" ht="15" x14ac:dyDescent="0.25">
      <c r="A779" s="351"/>
      <c r="B779" s="241"/>
      <c r="C779" s="356"/>
      <c r="D779" s="238"/>
      <c r="E779" s="212">
        <v>2020</v>
      </c>
      <c r="F779" s="157">
        <f t="shared" si="135"/>
        <v>8</v>
      </c>
      <c r="G779" s="7"/>
      <c r="H779" s="7"/>
      <c r="I779" s="7">
        <v>8</v>
      </c>
      <c r="J779" s="14"/>
      <c r="K779" s="244"/>
    </row>
    <row r="780" spans="1:35" ht="15" x14ac:dyDescent="0.25">
      <c r="A780" s="355"/>
      <c r="B780" s="249"/>
      <c r="C780" s="359"/>
      <c r="D780" s="238"/>
      <c r="E780" s="224">
        <v>2021</v>
      </c>
      <c r="F780" s="157">
        <f t="shared" ref="F780:F783" si="136">SUM(G780:I780)</f>
        <v>8</v>
      </c>
      <c r="G780" s="7"/>
      <c r="H780" s="7"/>
      <c r="I780" s="7">
        <v>8</v>
      </c>
      <c r="J780" s="14"/>
      <c r="K780" s="244"/>
    </row>
    <row r="781" spans="1:35" ht="15" x14ac:dyDescent="0.25">
      <c r="A781" s="355"/>
      <c r="B781" s="249"/>
      <c r="C781" s="359"/>
      <c r="D781" s="238"/>
      <c r="E781" s="224">
        <v>2022</v>
      </c>
      <c r="F781" s="157">
        <f t="shared" si="136"/>
        <v>8</v>
      </c>
      <c r="G781" s="7"/>
      <c r="H781" s="7"/>
      <c r="I781" s="7">
        <v>8</v>
      </c>
      <c r="J781" s="14"/>
      <c r="K781" s="244"/>
      <c r="L781" s="99"/>
    </row>
    <row r="782" spans="1:35" ht="15" x14ac:dyDescent="0.25">
      <c r="A782" s="355"/>
      <c r="B782" s="249"/>
      <c r="C782" s="359"/>
      <c r="D782" s="238"/>
      <c r="E782" s="224">
        <v>2023</v>
      </c>
      <c r="F782" s="157">
        <f t="shared" si="136"/>
        <v>8</v>
      </c>
      <c r="G782" s="7"/>
      <c r="H782" s="7"/>
      <c r="I782" s="7">
        <v>8</v>
      </c>
      <c r="J782" s="14"/>
      <c r="K782" s="244"/>
      <c r="L782" s="106"/>
    </row>
    <row r="783" spans="1:35" ht="15" x14ac:dyDescent="0.25">
      <c r="A783" s="355"/>
      <c r="B783" s="249"/>
      <c r="C783" s="359"/>
      <c r="D783" s="238"/>
      <c r="E783" s="224">
        <v>2024</v>
      </c>
      <c r="F783" s="157">
        <f t="shared" si="136"/>
        <v>8</v>
      </c>
      <c r="G783" s="7"/>
      <c r="H783" s="7"/>
      <c r="I783" s="7">
        <v>8</v>
      </c>
      <c r="J783" s="14"/>
      <c r="K783" s="244"/>
      <c r="L783" s="99"/>
    </row>
    <row r="784" spans="1:35" ht="15" x14ac:dyDescent="0.25">
      <c r="A784" s="355"/>
      <c r="B784" s="249"/>
      <c r="C784" s="359"/>
      <c r="D784" s="238"/>
      <c r="E784" s="224">
        <v>2025</v>
      </c>
      <c r="F784" s="157">
        <f t="shared" ref="F784" si="137">SUM(G784:I784)</f>
        <v>8</v>
      </c>
      <c r="G784" s="7"/>
      <c r="H784" s="7"/>
      <c r="I784" s="7">
        <v>8</v>
      </c>
      <c r="J784" s="14"/>
      <c r="K784" s="244"/>
      <c r="L784" s="99"/>
    </row>
    <row r="785" spans="1:35" ht="14.25" x14ac:dyDescent="0.2">
      <c r="A785" s="355"/>
      <c r="B785" s="249"/>
      <c r="C785" s="359"/>
      <c r="D785" s="239"/>
      <c r="E785" s="26" t="s">
        <v>18</v>
      </c>
      <c r="F785" s="161">
        <f>SUM(F774:F784)</f>
        <v>78.5</v>
      </c>
      <c r="G785" s="162"/>
      <c r="H785" s="162"/>
      <c r="I785" s="162">
        <f>SUM(I774:I784)</f>
        <v>78.5</v>
      </c>
      <c r="J785" s="22"/>
      <c r="K785" s="237"/>
    </row>
    <row r="786" spans="1:35" ht="15" x14ac:dyDescent="0.25">
      <c r="A786" s="364" t="s">
        <v>79</v>
      </c>
      <c r="B786" s="240" t="s">
        <v>95</v>
      </c>
      <c r="C786" s="277" t="s">
        <v>408</v>
      </c>
      <c r="D786" s="236" t="s">
        <v>209</v>
      </c>
      <c r="E786" s="212">
        <v>2015</v>
      </c>
      <c r="F786" s="156">
        <f t="shared" ref="F786:F791" si="138">SUM(G786:I786)</f>
        <v>13.5</v>
      </c>
      <c r="G786" s="7"/>
      <c r="H786" s="7"/>
      <c r="I786" s="7">
        <v>13.5</v>
      </c>
      <c r="J786" s="14"/>
      <c r="K786" s="236" t="s">
        <v>171</v>
      </c>
    </row>
    <row r="787" spans="1:35" ht="15" x14ac:dyDescent="0.25">
      <c r="A787" s="365"/>
      <c r="B787" s="241"/>
      <c r="C787" s="356"/>
      <c r="D787" s="238"/>
      <c r="E787" s="212">
        <v>2016</v>
      </c>
      <c r="F787" s="156">
        <f t="shared" si="138"/>
        <v>14</v>
      </c>
      <c r="G787" s="7"/>
      <c r="H787" s="7"/>
      <c r="I787" s="7">
        <v>14</v>
      </c>
      <c r="J787" s="14"/>
      <c r="K787" s="244"/>
    </row>
    <row r="788" spans="1:35" ht="15" x14ac:dyDescent="0.25">
      <c r="A788" s="365"/>
      <c r="B788" s="241"/>
      <c r="C788" s="356"/>
      <c r="D788" s="238"/>
      <c r="E788" s="212">
        <v>2017</v>
      </c>
      <c r="F788" s="156">
        <f t="shared" si="138"/>
        <v>11.3</v>
      </c>
      <c r="G788" s="7"/>
      <c r="H788" s="7"/>
      <c r="I788" s="7">
        <v>11.3</v>
      </c>
      <c r="J788" s="14"/>
      <c r="K788" s="244"/>
      <c r="L788" s="99"/>
    </row>
    <row r="789" spans="1:35" ht="15" x14ac:dyDescent="0.25">
      <c r="A789" s="365"/>
      <c r="B789" s="241"/>
      <c r="C789" s="356"/>
      <c r="D789" s="238"/>
      <c r="E789" s="212">
        <v>2018</v>
      </c>
      <c r="F789" s="156">
        <f t="shared" si="138"/>
        <v>15</v>
      </c>
      <c r="G789" s="7"/>
      <c r="H789" s="7"/>
      <c r="I789" s="7">
        <v>15</v>
      </c>
      <c r="J789" s="14"/>
      <c r="K789" s="244"/>
      <c r="L789" s="106"/>
    </row>
    <row r="790" spans="1:35" ht="15" x14ac:dyDescent="0.25">
      <c r="A790" s="365"/>
      <c r="B790" s="241"/>
      <c r="C790" s="356"/>
      <c r="D790" s="238"/>
      <c r="E790" s="212">
        <v>2019</v>
      </c>
      <c r="F790" s="156">
        <f t="shared" si="138"/>
        <v>15.5</v>
      </c>
      <c r="G790" s="7"/>
      <c r="H790" s="7"/>
      <c r="I790" s="7">
        <v>15.5</v>
      </c>
      <c r="J790" s="14"/>
      <c r="K790" s="244"/>
      <c r="L790" s="99"/>
    </row>
    <row r="791" spans="1:35" ht="15" x14ac:dyDescent="0.25">
      <c r="A791" s="365"/>
      <c r="B791" s="241"/>
      <c r="C791" s="356"/>
      <c r="D791" s="238"/>
      <c r="E791" s="212">
        <v>2020</v>
      </c>
      <c r="F791" s="156">
        <f t="shared" si="138"/>
        <v>7</v>
      </c>
      <c r="G791" s="7"/>
      <c r="H791" s="7"/>
      <c r="I791" s="7">
        <v>7</v>
      </c>
      <c r="J791" s="14"/>
      <c r="K791" s="244"/>
    </row>
    <row r="792" spans="1:35" ht="15" x14ac:dyDescent="0.25">
      <c r="A792" s="365"/>
      <c r="B792" s="241"/>
      <c r="C792" s="356"/>
      <c r="D792" s="238"/>
      <c r="E792" s="224">
        <v>2021</v>
      </c>
      <c r="F792" s="156">
        <f t="shared" ref="F792:F796" si="139">SUM(G792:I792)</f>
        <v>7</v>
      </c>
      <c r="G792" s="7"/>
      <c r="H792" s="7"/>
      <c r="I792" s="7">
        <v>7</v>
      </c>
      <c r="J792" s="14"/>
      <c r="K792" s="244"/>
    </row>
    <row r="793" spans="1:35" ht="15" x14ac:dyDescent="0.25">
      <c r="A793" s="365"/>
      <c r="B793" s="241"/>
      <c r="C793" s="356"/>
      <c r="D793" s="238"/>
      <c r="E793" s="224">
        <v>2022</v>
      </c>
      <c r="F793" s="156">
        <f t="shared" si="139"/>
        <v>7</v>
      </c>
      <c r="G793" s="7"/>
      <c r="H793" s="7"/>
      <c r="I793" s="7">
        <v>7</v>
      </c>
      <c r="J793" s="14"/>
      <c r="K793" s="244"/>
      <c r="L793" s="99"/>
    </row>
    <row r="794" spans="1:35" ht="15" x14ac:dyDescent="0.25">
      <c r="A794" s="365"/>
      <c r="B794" s="241"/>
      <c r="C794" s="356"/>
      <c r="D794" s="238"/>
      <c r="E794" s="224">
        <v>2023</v>
      </c>
      <c r="F794" s="156">
        <f t="shared" si="139"/>
        <v>7</v>
      </c>
      <c r="G794" s="7"/>
      <c r="H794" s="7"/>
      <c r="I794" s="7">
        <v>7</v>
      </c>
      <c r="J794" s="14"/>
      <c r="K794" s="244"/>
      <c r="L794" s="106"/>
    </row>
    <row r="795" spans="1:35" ht="15" x14ac:dyDescent="0.25">
      <c r="A795" s="365"/>
      <c r="B795" s="241"/>
      <c r="C795" s="356"/>
      <c r="D795" s="238"/>
      <c r="E795" s="224">
        <v>2024</v>
      </c>
      <c r="F795" s="156">
        <f t="shared" si="139"/>
        <v>7</v>
      </c>
      <c r="G795" s="7"/>
      <c r="H795" s="7"/>
      <c r="I795" s="7">
        <v>7</v>
      </c>
      <c r="J795" s="14"/>
      <c r="K795" s="244"/>
      <c r="L795" s="99"/>
    </row>
    <row r="796" spans="1:35" ht="15" x14ac:dyDescent="0.25">
      <c r="A796" s="365"/>
      <c r="B796" s="241"/>
      <c r="C796" s="356"/>
      <c r="D796" s="238"/>
      <c r="E796" s="224">
        <v>2025</v>
      </c>
      <c r="F796" s="156">
        <f t="shared" si="139"/>
        <v>7</v>
      </c>
      <c r="G796" s="7"/>
      <c r="H796" s="7"/>
      <c r="I796" s="7">
        <v>7</v>
      </c>
      <c r="J796" s="14"/>
      <c r="K796" s="244"/>
    </row>
    <row r="797" spans="1:35" ht="14.25" x14ac:dyDescent="0.2">
      <c r="A797" s="365"/>
      <c r="B797" s="241"/>
      <c r="C797" s="356"/>
      <c r="D797" s="239"/>
      <c r="E797" s="18" t="s">
        <v>18</v>
      </c>
      <c r="F797" s="140">
        <f>SUM(F786:F796)</f>
        <v>111.3</v>
      </c>
      <c r="G797" s="8"/>
      <c r="H797" s="8"/>
      <c r="I797" s="8">
        <f>SUM(I786:I796)</f>
        <v>111.3</v>
      </c>
      <c r="J797" s="14"/>
      <c r="K797" s="244"/>
    </row>
    <row r="798" spans="1:35" ht="14.25" customHeight="1" thickBot="1" x14ac:dyDescent="0.25">
      <c r="A798" s="334" t="s">
        <v>189</v>
      </c>
      <c r="B798" s="335"/>
      <c r="C798" s="335"/>
      <c r="D798" s="335"/>
      <c r="E798" s="6" t="s">
        <v>61</v>
      </c>
      <c r="F798" s="146">
        <f>SUM(G798:I798)</f>
        <v>189.8</v>
      </c>
      <c r="G798" s="146"/>
      <c r="H798" s="146">
        <f>H797+H785</f>
        <v>0</v>
      </c>
      <c r="I798" s="146">
        <f>I797+I785</f>
        <v>189.8</v>
      </c>
      <c r="J798" s="17"/>
      <c r="K798" s="211"/>
      <c r="L798" s="126"/>
      <c r="M798" s="127"/>
    </row>
    <row r="799" spans="1:35" ht="15" thickBot="1" x14ac:dyDescent="0.25">
      <c r="A799" s="247" t="s">
        <v>203</v>
      </c>
      <c r="B799" s="241"/>
      <c r="C799" s="241"/>
      <c r="D799" s="241"/>
      <c r="E799" s="241"/>
      <c r="F799" s="241"/>
      <c r="G799" s="241"/>
      <c r="H799" s="241"/>
      <c r="I799" s="241"/>
      <c r="J799" s="241"/>
      <c r="K799" s="241"/>
      <c r="L799" s="63"/>
      <c r="M799" s="63"/>
      <c r="N799" s="63"/>
      <c r="O799" s="63"/>
      <c r="P799" s="63"/>
      <c r="Q799" s="63"/>
      <c r="R799" s="63"/>
      <c r="S799" s="63"/>
      <c r="T799" s="63"/>
      <c r="U799" s="63"/>
      <c r="V799" s="63"/>
      <c r="W799" s="63"/>
      <c r="X799" s="63"/>
      <c r="Y799" s="63"/>
      <c r="Z799" s="63"/>
      <c r="AA799" s="63"/>
      <c r="AB799" s="63"/>
      <c r="AC799" s="63"/>
      <c r="AD799" s="63"/>
      <c r="AE799" s="63"/>
      <c r="AF799" s="63"/>
      <c r="AG799" s="63"/>
      <c r="AH799" s="63"/>
      <c r="AI799" s="64"/>
    </row>
    <row r="800" spans="1:35" ht="15" thickBot="1" x14ac:dyDescent="0.25">
      <c r="A800" s="248" t="s">
        <v>96</v>
      </c>
      <c r="B800" s="249"/>
      <c r="C800" s="249"/>
      <c r="D800" s="249"/>
      <c r="E800" s="249"/>
      <c r="F800" s="249"/>
      <c r="G800" s="249"/>
      <c r="H800" s="249"/>
      <c r="I800" s="249"/>
      <c r="J800" s="249"/>
      <c r="K800" s="249"/>
      <c r="L800" s="75"/>
      <c r="M800" s="75"/>
      <c r="N800" s="75"/>
      <c r="O800" s="75"/>
      <c r="P800" s="75"/>
      <c r="Q800" s="75"/>
      <c r="R800" s="75"/>
      <c r="S800" s="75"/>
      <c r="T800" s="75"/>
      <c r="U800" s="75"/>
      <c r="V800" s="75"/>
      <c r="W800" s="75"/>
      <c r="X800" s="75"/>
      <c r="Y800" s="75"/>
      <c r="Z800" s="75"/>
      <c r="AA800" s="75"/>
      <c r="AB800" s="75"/>
      <c r="AC800" s="75"/>
      <c r="AD800" s="75"/>
      <c r="AE800" s="75"/>
      <c r="AF800" s="75"/>
      <c r="AG800" s="75"/>
      <c r="AH800" s="75"/>
      <c r="AI800" s="76"/>
    </row>
    <row r="801" spans="1:12" ht="12.75" customHeight="1" x14ac:dyDescent="0.25">
      <c r="A801" s="361" t="s">
        <v>97</v>
      </c>
      <c r="B801" s="240" t="s">
        <v>214</v>
      </c>
      <c r="C801" s="277" t="s">
        <v>407</v>
      </c>
      <c r="D801" s="277" t="s">
        <v>209</v>
      </c>
      <c r="E801" s="212">
        <v>2015</v>
      </c>
      <c r="F801" s="156">
        <f t="shared" ref="F801:F806" si="140">SUM(G801:I801)</f>
        <v>230</v>
      </c>
      <c r="G801" s="7"/>
      <c r="H801" s="7"/>
      <c r="I801" s="7">
        <v>230</v>
      </c>
      <c r="J801" s="14"/>
      <c r="K801" s="277" t="s">
        <v>174</v>
      </c>
    </row>
    <row r="802" spans="1:12" ht="15" x14ac:dyDescent="0.25">
      <c r="A802" s="362"/>
      <c r="B802" s="241"/>
      <c r="C802" s="356"/>
      <c r="D802" s="243"/>
      <c r="E802" s="212">
        <v>2016</v>
      </c>
      <c r="F802" s="156">
        <f t="shared" si="140"/>
        <v>245</v>
      </c>
      <c r="G802" s="7"/>
      <c r="H802" s="7"/>
      <c r="I802" s="7">
        <v>245</v>
      </c>
      <c r="J802" s="14"/>
      <c r="K802" s="277"/>
    </row>
    <row r="803" spans="1:12" ht="15" x14ac:dyDescent="0.25">
      <c r="A803" s="362"/>
      <c r="B803" s="241"/>
      <c r="C803" s="356"/>
      <c r="D803" s="243"/>
      <c r="E803" s="212">
        <v>2017</v>
      </c>
      <c r="F803" s="156">
        <f t="shared" si="140"/>
        <v>261.3</v>
      </c>
      <c r="G803" s="7"/>
      <c r="H803" s="7"/>
      <c r="I803" s="7">
        <f>210+51.3</f>
        <v>261.3</v>
      </c>
      <c r="J803" s="14"/>
      <c r="K803" s="277"/>
      <c r="L803" s="99"/>
    </row>
    <row r="804" spans="1:12" ht="15" x14ac:dyDescent="0.25">
      <c r="A804" s="362"/>
      <c r="B804" s="241"/>
      <c r="C804" s="356"/>
      <c r="D804" s="243"/>
      <c r="E804" s="212">
        <v>2018</v>
      </c>
      <c r="F804" s="156">
        <f t="shared" si="140"/>
        <v>118.9</v>
      </c>
      <c r="G804" s="7"/>
      <c r="H804" s="7"/>
      <c r="I804" s="7">
        <v>118.9</v>
      </c>
      <c r="J804" s="14"/>
      <c r="K804" s="277"/>
      <c r="L804" s="106"/>
    </row>
    <row r="805" spans="1:12" ht="15" x14ac:dyDescent="0.25">
      <c r="A805" s="362"/>
      <c r="B805" s="241"/>
      <c r="C805" s="356"/>
      <c r="D805" s="243"/>
      <c r="E805" s="212">
        <v>2019</v>
      </c>
      <c r="F805" s="156">
        <f t="shared" si="140"/>
        <v>310</v>
      </c>
      <c r="G805" s="7"/>
      <c r="H805" s="7"/>
      <c r="I805" s="7">
        <v>310</v>
      </c>
      <c r="J805" s="14"/>
      <c r="K805" s="277"/>
      <c r="L805" s="99"/>
    </row>
    <row r="806" spans="1:12" ht="15" x14ac:dyDescent="0.25">
      <c r="A806" s="362"/>
      <c r="B806" s="241"/>
      <c r="C806" s="356"/>
      <c r="D806" s="243"/>
      <c r="E806" s="212">
        <v>2020</v>
      </c>
      <c r="F806" s="156">
        <f t="shared" si="140"/>
        <v>0</v>
      </c>
      <c r="G806" s="7"/>
      <c r="H806" s="7"/>
      <c r="I806" s="7">
        <v>0</v>
      </c>
      <c r="J806" s="14"/>
      <c r="K806" s="277"/>
    </row>
    <row r="807" spans="1:12" ht="15" x14ac:dyDescent="0.25">
      <c r="A807" s="362"/>
      <c r="B807" s="241"/>
      <c r="C807" s="356"/>
      <c r="D807" s="243"/>
      <c r="E807" s="224">
        <v>2021</v>
      </c>
      <c r="F807" s="156">
        <f t="shared" ref="F807" si="141">SUM(G807:I807)</f>
        <v>0</v>
      </c>
      <c r="G807" s="7"/>
      <c r="H807" s="7"/>
      <c r="I807" s="7">
        <v>0</v>
      </c>
      <c r="J807" s="14"/>
      <c r="K807" s="277"/>
    </row>
    <row r="808" spans="1:12" ht="14.25" x14ac:dyDescent="0.2">
      <c r="A808" s="362"/>
      <c r="B808" s="241"/>
      <c r="C808" s="356"/>
      <c r="D808" s="243"/>
      <c r="E808" s="18" t="s">
        <v>18</v>
      </c>
      <c r="F808" s="140">
        <f>SUM(F801:F806)</f>
        <v>1165.1999999999998</v>
      </c>
      <c r="G808" s="8"/>
      <c r="H808" s="8"/>
      <c r="I808" s="8">
        <f>SUM(I801:I806)</f>
        <v>1165.1999999999998</v>
      </c>
      <c r="J808" s="14"/>
      <c r="K808" s="277"/>
    </row>
    <row r="809" spans="1:12" ht="15" x14ac:dyDescent="0.25">
      <c r="A809" s="364" t="s">
        <v>289</v>
      </c>
      <c r="B809" s="240" t="s">
        <v>216</v>
      </c>
      <c r="C809" s="277" t="s">
        <v>407</v>
      </c>
      <c r="D809" s="277" t="s">
        <v>209</v>
      </c>
      <c r="E809" s="212">
        <v>2015</v>
      </c>
      <c r="F809" s="156">
        <f t="shared" ref="F809:F814" si="142">SUM(G809:I809)</f>
        <v>80</v>
      </c>
      <c r="G809" s="7"/>
      <c r="H809" s="7"/>
      <c r="I809" s="7">
        <v>80</v>
      </c>
      <c r="J809" s="14"/>
      <c r="K809" s="277"/>
    </row>
    <row r="810" spans="1:12" ht="15" x14ac:dyDescent="0.25">
      <c r="A810" s="365"/>
      <c r="B810" s="241"/>
      <c r="C810" s="356"/>
      <c r="D810" s="243"/>
      <c r="E810" s="212">
        <v>2016</v>
      </c>
      <c r="F810" s="156">
        <f t="shared" si="142"/>
        <v>85</v>
      </c>
      <c r="G810" s="7"/>
      <c r="H810" s="7"/>
      <c r="I810" s="7">
        <v>85</v>
      </c>
      <c r="J810" s="14"/>
      <c r="K810" s="277"/>
    </row>
    <row r="811" spans="1:12" ht="15" x14ac:dyDescent="0.25">
      <c r="A811" s="365"/>
      <c r="B811" s="241"/>
      <c r="C811" s="356"/>
      <c r="D811" s="243"/>
      <c r="E811" s="212">
        <v>2017</v>
      </c>
      <c r="F811" s="156">
        <f t="shared" si="142"/>
        <v>60</v>
      </c>
      <c r="G811" s="7"/>
      <c r="H811" s="7"/>
      <c r="I811" s="7">
        <v>60</v>
      </c>
      <c r="J811" s="14"/>
      <c r="K811" s="277"/>
      <c r="L811" s="106"/>
    </row>
    <row r="812" spans="1:12" ht="15" x14ac:dyDescent="0.25">
      <c r="A812" s="365"/>
      <c r="B812" s="241"/>
      <c r="C812" s="356"/>
      <c r="D812" s="243"/>
      <c r="E812" s="212">
        <v>2018</v>
      </c>
      <c r="F812" s="156">
        <f t="shared" si="142"/>
        <v>95</v>
      </c>
      <c r="G812" s="7"/>
      <c r="H812" s="7"/>
      <c r="I812" s="7">
        <v>95</v>
      </c>
      <c r="J812" s="14"/>
      <c r="K812" s="277"/>
      <c r="L812" s="99"/>
    </row>
    <row r="813" spans="1:12" ht="15" x14ac:dyDescent="0.25">
      <c r="A813" s="365"/>
      <c r="B813" s="241"/>
      <c r="C813" s="356"/>
      <c r="D813" s="243"/>
      <c r="E813" s="212">
        <v>2019</v>
      </c>
      <c r="F813" s="156">
        <f t="shared" si="142"/>
        <v>0</v>
      </c>
      <c r="G813" s="7"/>
      <c r="H813" s="7"/>
      <c r="I813" s="7">
        <v>0</v>
      </c>
      <c r="J813" s="14"/>
      <c r="K813" s="277"/>
      <c r="L813" s="99"/>
    </row>
    <row r="814" spans="1:12" ht="15" x14ac:dyDescent="0.25">
      <c r="A814" s="365"/>
      <c r="B814" s="241"/>
      <c r="C814" s="356"/>
      <c r="D814" s="243"/>
      <c r="E814" s="212">
        <v>2020</v>
      </c>
      <c r="F814" s="156">
        <f t="shared" si="142"/>
        <v>0</v>
      </c>
      <c r="G814" s="7"/>
      <c r="H814" s="7"/>
      <c r="I814" s="7">
        <v>0</v>
      </c>
      <c r="J814" s="14"/>
      <c r="K814" s="277"/>
    </row>
    <row r="815" spans="1:12" ht="15" x14ac:dyDescent="0.25">
      <c r="A815" s="365"/>
      <c r="B815" s="241"/>
      <c r="C815" s="356"/>
      <c r="D815" s="243"/>
      <c r="E815" s="224">
        <v>2021</v>
      </c>
      <c r="F815" s="156">
        <f t="shared" ref="F815" si="143">SUM(G815:I815)</f>
        <v>0</v>
      </c>
      <c r="G815" s="7"/>
      <c r="H815" s="7"/>
      <c r="I815" s="7">
        <v>0</v>
      </c>
      <c r="J815" s="14"/>
      <c r="K815" s="277"/>
    </row>
    <row r="816" spans="1:12" ht="14.25" x14ac:dyDescent="0.2">
      <c r="A816" s="365"/>
      <c r="B816" s="241"/>
      <c r="C816" s="356"/>
      <c r="D816" s="243"/>
      <c r="E816" s="18" t="s">
        <v>18</v>
      </c>
      <c r="F816" s="140">
        <f>SUM(F809:F814)</f>
        <v>320</v>
      </c>
      <c r="G816" s="8"/>
      <c r="H816" s="8"/>
      <c r="I816" s="8">
        <f>SUM(I809:I814)</f>
        <v>320</v>
      </c>
      <c r="J816" s="14"/>
      <c r="K816" s="277"/>
    </row>
    <row r="817" spans="1:12" ht="15" x14ac:dyDescent="0.25">
      <c r="A817" s="363" t="s">
        <v>290</v>
      </c>
      <c r="B817" s="527" t="s">
        <v>215</v>
      </c>
      <c r="C817" s="237" t="s">
        <v>408</v>
      </c>
      <c r="D817" s="244" t="s">
        <v>209</v>
      </c>
      <c r="E817" s="213">
        <v>2015</v>
      </c>
      <c r="F817" s="160">
        <f t="shared" ref="F817:F822" si="144">SUM(G817:I817)</f>
        <v>47</v>
      </c>
      <c r="G817" s="143"/>
      <c r="H817" s="143"/>
      <c r="I817" s="143">
        <v>47</v>
      </c>
      <c r="J817" s="188"/>
      <c r="K817" s="244" t="s">
        <v>230</v>
      </c>
    </row>
    <row r="818" spans="1:12" ht="15" x14ac:dyDescent="0.25">
      <c r="A818" s="351"/>
      <c r="B818" s="527"/>
      <c r="C818" s="356"/>
      <c r="D818" s="238"/>
      <c r="E818" s="212">
        <v>2016</v>
      </c>
      <c r="F818" s="157">
        <f t="shared" si="144"/>
        <v>50</v>
      </c>
      <c r="G818" s="7"/>
      <c r="H818" s="7"/>
      <c r="I818" s="7">
        <v>50</v>
      </c>
      <c r="J818" s="81"/>
      <c r="K818" s="244"/>
    </row>
    <row r="819" spans="1:12" ht="15" x14ac:dyDescent="0.25">
      <c r="A819" s="351"/>
      <c r="B819" s="527"/>
      <c r="C819" s="356"/>
      <c r="D819" s="238"/>
      <c r="E819" s="212">
        <v>2017</v>
      </c>
      <c r="F819" s="157">
        <f t="shared" si="144"/>
        <v>40</v>
      </c>
      <c r="G819" s="7"/>
      <c r="H819" s="7"/>
      <c r="I819" s="7">
        <v>40</v>
      </c>
      <c r="J819" s="81"/>
      <c r="K819" s="244"/>
      <c r="L819" s="99"/>
    </row>
    <row r="820" spans="1:12" ht="15" x14ac:dyDescent="0.25">
      <c r="A820" s="351"/>
      <c r="B820" s="527"/>
      <c r="C820" s="356"/>
      <c r="D820" s="238"/>
      <c r="E820" s="212">
        <v>2018</v>
      </c>
      <c r="F820" s="157">
        <f t="shared" si="144"/>
        <v>56</v>
      </c>
      <c r="G820" s="7"/>
      <c r="H820" s="7"/>
      <c r="I820" s="7">
        <v>56</v>
      </c>
      <c r="J820" s="81"/>
      <c r="K820" s="244"/>
      <c r="L820" s="99"/>
    </row>
    <row r="821" spans="1:12" ht="15" x14ac:dyDescent="0.25">
      <c r="A821" s="351"/>
      <c r="B821" s="527"/>
      <c r="C821" s="356"/>
      <c r="D821" s="238"/>
      <c r="E821" s="212">
        <v>2019</v>
      </c>
      <c r="F821" s="157">
        <f t="shared" si="144"/>
        <v>59</v>
      </c>
      <c r="G821" s="7"/>
      <c r="H821" s="7"/>
      <c r="I821" s="7">
        <v>59</v>
      </c>
      <c r="J821" s="81"/>
      <c r="K821" s="244"/>
      <c r="L821" s="106"/>
    </row>
    <row r="822" spans="1:12" ht="15" x14ac:dyDescent="0.25">
      <c r="A822" s="351"/>
      <c r="B822" s="527"/>
      <c r="C822" s="356"/>
      <c r="D822" s="238"/>
      <c r="E822" s="212">
        <v>2020</v>
      </c>
      <c r="F822" s="157">
        <f t="shared" si="144"/>
        <v>24</v>
      </c>
      <c r="G822" s="7"/>
      <c r="H822" s="7"/>
      <c r="I822" s="7">
        <v>24</v>
      </c>
      <c r="J822" s="81"/>
      <c r="K822" s="244"/>
    </row>
    <row r="823" spans="1:12" ht="15" x14ac:dyDescent="0.25">
      <c r="A823" s="351"/>
      <c r="B823" s="527"/>
      <c r="C823" s="356"/>
      <c r="D823" s="238"/>
      <c r="E823" s="224">
        <v>2021</v>
      </c>
      <c r="F823" s="157">
        <f t="shared" ref="F823:F827" si="145">SUM(G823:I823)</f>
        <v>24</v>
      </c>
      <c r="G823" s="7"/>
      <c r="H823" s="7"/>
      <c r="I823" s="7">
        <v>24</v>
      </c>
      <c r="J823" s="81"/>
      <c r="K823" s="244"/>
    </row>
    <row r="824" spans="1:12" ht="15" x14ac:dyDescent="0.25">
      <c r="A824" s="351"/>
      <c r="B824" s="527"/>
      <c r="C824" s="356"/>
      <c r="D824" s="238"/>
      <c r="E824" s="224">
        <v>2022</v>
      </c>
      <c r="F824" s="157">
        <f t="shared" si="145"/>
        <v>24</v>
      </c>
      <c r="G824" s="7"/>
      <c r="H824" s="7"/>
      <c r="I824" s="7">
        <v>24</v>
      </c>
      <c r="J824" s="81"/>
      <c r="K824" s="244"/>
      <c r="L824" s="99"/>
    </row>
    <row r="825" spans="1:12" ht="15" x14ac:dyDescent="0.25">
      <c r="A825" s="351"/>
      <c r="B825" s="527"/>
      <c r="C825" s="356"/>
      <c r="D825" s="238"/>
      <c r="E825" s="224">
        <v>2023</v>
      </c>
      <c r="F825" s="157">
        <f t="shared" si="145"/>
        <v>24</v>
      </c>
      <c r="G825" s="7"/>
      <c r="H825" s="7"/>
      <c r="I825" s="7">
        <v>24</v>
      </c>
      <c r="J825" s="81"/>
      <c r="K825" s="244"/>
      <c r="L825" s="99"/>
    </row>
    <row r="826" spans="1:12" ht="15" x14ac:dyDescent="0.25">
      <c r="A826" s="351"/>
      <c r="B826" s="527"/>
      <c r="C826" s="356"/>
      <c r="D826" s="238"/>
      <c r="E826" s="224">
        <v>2024</v>
      </c>
      <c r="F826" s="157">
        <f t="shared" si="145"/>
        <v>24</v>
      </c>
      <c r="G826" s="7"/>
      <c r="H826" s="7"/>
      <c r="I826" s="7">
        <v>24</v>
      </c>
      <c r="J826" s="81"/>
      <c r="K826" s="244"/>
      <c r="L826" s="106"/>
    </row>
    <row r="827" spans="1:12" ht="15" x14ac:dyDescent="0.25">
      <c r="A827" s="351"/>
      <c r="B827" s="527"/>
      <c r="C827" s="356"/>
      <c r="D827" s="238"/>
      <c r="E827" s="224">
        <v>2025</v>
      </c>
      <c r="F827" s="157">
        <f t="shared" si="145"/>
        <v>24</v>
      </c>
      <c r="G827" s="7"/>
      <c r="H827" s="7"/>
      <c r="I827" s="7">
        <v>24</v>
      </c>
      <c r="J827" s="81"/>
      <c r="K827" s="244"/>
    </row>
    <row r="828" spans="1:12" ht="15.75" thickBot="1" x14ac:dyDescent="0.3">
      <c r="A828" s="351"/>
      <c r="B828" s="528"/>
      <c r="C828" s="356"/>
      <c r="D828" s="239"/>
      <c r="E828" s="18" t="s">
        <v>18</v>
      </c>
      <c r="F828" s="159">
        <f>SUM(F817:F827)</f>
        <v>396</v>
      </c>
      <c r="G828" s="7"/>
      <c r="H828" s="7"/>
      <c r="I828" s="8">
        <f>SUM(I817:I827)</f>
        <v>396</v>
      </c>
      <c r="J828" s="81"/>
      <c r="K828" s="244"/>
    </row>
    <row r="829" spans="1:12" ht="15" x14ac:dyDescent="0.25">
      <c r="A829" s="350" t="s">
        <v>291</v>
      </c>
      <c r="B829" s="357" t="s">
        <v>98</v>
      </c>
      <c r="C829" s="277" t="s">
        <v>408</v>
      </c>
      <c r="D829" s="236" t="s">
        <v>209</v>
      </c>
      <c r="E829" s="212">
        <v>2015</v>
      </c>
      <c r="F829" s="157">
        <f t="shared" ref="F829:F834" si="146">SUM(G829:I829)</f>
        <v>40.6</v>
      </c>
      <c r="G829" s="7"/>
      <c r="H829" s="7"/>
      <c r="I829" s="7">
        <v>40.6</v>
      </c>
      <c r="J829" s="14"/>
      <c r="K829" s="244"/>
    </row>
    <row r="830" spans="1:12" ht="15" x14ac:dyDescent="0.25">
      <c r="A830" s="351"/>
      <c r="B830" s="358"/>
      <c r="C830" s="356"/>
      <c r="D830" s="238"/>
      <c r="E830" s="212">
        <v>2016</v>
      </c>
      <c r="F830" s="157">
        <f t="shared" si="146"/>
        <v>50</v>
      </c>
      <c r="G830" s="7"/>
      <c r="H830" s="7"/>
      <c r="I830" s="7">
        <v>50</v>
      </c>
      <c r="J830" s="14"/>
      <c r="K830" s="244"/>
    </row>
    <row r="831" spans="1:12" ht="15" x14ac:dyDescent="0.25">
      <c r="A831" s="351"/>
      <c r="B831" s="358"/>
      <c r="C831" s="356"/>
      <c r="D831" s="238"/>
      <c r="E831" s="212">
        <v>2017</v>
      </c>
      <c r="F831" s="157">
        <f t="shared" si="146"/>
        <v>40</v>
      </c>
      <c r="G831" s="7"/>
      <c r="H831" s="7"/>
      <c r="I831" s="7">
        <v>40</v>
      </c>
      <c r="J831" s="14"/>
      <c r="K831" s="244"/>
      <c r="L831" s="99"/>
    </row>
    <row r="832" spans="1:12" ht="15" x14ac:dyDescent="0.25">
      <c r="A832" s="351"/>
      <c r="B832" s="358"/>
      <c r="C832" s="356"/>
      <c r="D832" s="238"/>
      <c r="E832" s="212">
        <v>2018</v>
      </c>
      <c r="F832" s="157">
        <f t="shared" si="146"/>
        <v>54</v>
      </c>
      <c r="G832" s="7"/>
      <c r="H832" s="7"/>
      <c r="I832" s="7">
        <v>54</v>
      </c>
      <c r="J832" s="14"/>
      <c r="K832" s="244"/>
      <c r="L832" s="99"/>
    </row>
    <row r="833" spans="1:12" ht="15" x14ac:dyDescent="0.25">
      <c r="A833" s="351"/>
      <c r="B833" s="358"/>
      <c r="C833" s="356"/>
      <c r="D833" s="238"/>
      <c r="E833" s="212">
        <v>2019</v>
      </c>
      <c r="F833" s="157">
        <f t="shared" si="146"/>
        <v>56</v>
      </c>
      <c r="G833" s="7"/>
      <c r="H833" s="7"/>
      <c r="I833" s="7">
        <v>56</v>
      </c>
      <c r="J833" s="14"/>
      <c r="K833" s="244"/>
      <c r="L833" s="99"/>
    </row>
    <row r="834" spans="1:12" ht="15" x14ac:dyDescent="0.25">
      <c r="A834" s="351"/>
      <c r="B834" s="358"/>
      <c r="C834" s="356"/>
      <c r="D834" s="238"/>
      <c r="E834" s="212">
        <v>2020</v>
      </c>
      <c r="F834" s="157">
        <f t="shared" si="146"/>
        <v>26</v>
      </c>
      <c r="G834" s="7"/>
      <c r="H834" s="7"/>
      <c r="I834" s="7">
        <v>26</v>
      </c>
      <c r="J834" s="14"/>
      <c r="K834" s="244"/>
      <c r="L834" s="106"/>
    </row>
    <row r="835" spans="1:12" ht="15" x14ac:dyDescent="0.25">
      <c r="A835" s="351"/>
      <c r="B835" s="358"/>
      <c r="C835" s="356"/>
      <c r="D835" s="238"/>
      <c r="E835" s="224">
        <v>2021</v>
      </c>
      <c r="F835" s="157">
        <f t="shared" ref="F835:F839" si="147">SUM(G835:I835)</f>
        <v>26</v>
      </c>
      <c r="G835" s="7"/>
      <c r="H835" s="7"/>
      <c r="I835" s="7">
        <v>26</v>
      </c>
      <c r="J835" s="14"/>
      <c r="K835" s="244"/>
    </row>
    <row r="836" spans="1:12" ht="15" x14ac:dyDescent="0.25">
      <c r="A836" s="351"/>
      <c r="B836" s="358"/>
      <c r="C836" s="356"/>
      <c r="D836" s="238"/>
      <c r="E836" s="224">
        <v>2022</v>
      </c>
      <c r="F836" s="157">
        <f t="shared" si="147"/>
        <v>26</v>
      </c>
      <c r="G836" s="7"/>
      <c r="H836" s="7"/>
      <c r="I836" s="7">
        <v>26</v>
      </c>
      <c r="J836" s="14"/>
      <c r="K836" s="244"/>
      <c r="L836" s="99"/>
    </row>
    <row r="837" spans="1:12" ht="15" x14ac:dyDescent="0.25">
      <c r="A837" s="351"/>
      <c r="B837" s="358"/>
      <c r="C837" s="356"/>
      <c r="D837" s="238"/>
      <c r="E837" s="224">
        <v>2023</v>
      </c>
      <c r="F837" s="157">
        <f t="shared" si="147"/>
        <v>26</v>
      </c>
      <c r="G837" s="7"/>
      <c r="H837" s="7"/>
      <c r="I837" s="7">
        <v>26</v>
      </c>
      <c r="J837" s="14"/>
      <c r="K837" s="244"/>
      <c r="L837" s="99"/>
    </row>
    <row r="838" spans="1:12" ht="15" x14ac:dyDescent="0.25">
      <c r="A838" s="351"/>
      <c r="B838" s="358"/>
      <c r="C838" s="356"/>
      <c r="D838" s="238"/>
      <c r="E838" s="224">
        <v>2024</v>
      </c>
      <c r="F838" s="157">
        <f t="shared" si="147"/>
        <v>26</v>
      </c>
      <c r="G838" s="7"/>
      <c r="H838" s="7"/>
      <c r="I838" s="7">
        <v>26</v>
      </c>
      <c r="J838" s="14"/>
      <c r="K838" s="244"/>
      <c r="L838" s="99"/>
    </row>
    <row r="839" spans="1:12" ht="15" x14ac:dyDescent="0.25">
      <c r="A839" s="351"/>
      <c r="B839" s="358"/>
      <c r="C839" s="356"/>
      <c r="D839" s="238"/>
      <c r="E839" s="224">
        <v>2025</v>
      </c>
      <c r="F839" s="157">
        <f t="shared" si="147"/>
        <v>26</v>
      </c>
      <c r="G839" s="7"/>
      <c r="H839" s="7"/>
      <c r="I839" s="7">
        <v>26</v>
      </c>
      <c r="J839" s="14"/>
      <c r="K839" s="244"/>
      <c r="L839" s="106"/>
    </row>
    <row r="840" spans="1:12" ht="15" thickBot="1" x14ac:dyDescent="0.25">
      <c r="A840" s="351"/>
      <c r="B840" s="360"/>
      <c r="C840" s="356"/>
      <c r="D840" s="239"/>
      <c r="E840" s="18" t="s">
        <v>18</v>
      </c>
      <c r="F840" s="159">
        <f>SUM(F829:F839)</f>
        <v>396.6</v>
      </c>
      <c r="G840" s="8"/>
      <c r="H840" s="8"/>
      <c r="I840" s="8">
        <f>SUM(I829:I839)</f>
        <v>396.6</v>
      </c>
      <c r="J840" s="14"/>
      <c r="K840" s="244"/>
    </row>
    <row r="841" spans="1:12" ht="15" x14ac:dyDescent="0.25">
      <c r="A841" s="350" t="s">
        <v>292</v>
      </c>
      <c r="B841" s="357" t="s">
        <v>99</v>
      </c>
      <c r="C841" s="277" t="s">
        <v>61</v>
      </c>
      <c r="D841" s="236" t="s">
        <v>209</v>
      </c>
      <c r="E841" s="212">
        <v>2015</v>
      </c>
      <c r="F841" s="157">
        <f t="shared" ref="F841:F846" si="148">SUM(G841:I841)</f>
        <v>5.0999999999999996</v>
      </c>
      <c r="G841" s="7"/>
      <c r="H841" s="7"/>
      <c r="I841" s="7">
        <v>5.0999999999999996</v>
      </c>
      <c r="J841" s="14"/>
      <c r="K841" s="244"/>
    </row>
    <row r="842" spans="1:12" ht="15" x14ac:dyDescent="0.25">
      <c r="A842" s="351"/>
      <c r="B842" s="358"/>
      <c r="C842" s="356"/>
      <c r="D842" s="238"/>
      <c r="E842" s="212">
        <v>2016</v>
      </c>
      <c r="F842" s="157">
        <f t="shared" si="148"/>
        <v>5.3</v>
      </c>
      <c r="G842" s="7"/>
      <c r="H842" s="7"/>
      <c r="I842" s="7">
        <v>5.3</v>
      </c>
      <c r="J842" s="14"/>
      <c r="K842" s="244"/>
    </row>
    <row r="843" spans="1:12" ht="15" x14ac:dyDescent="0.25">
      <c r="A843" s="351"/>
      <c r="B843" s="358"/>
      <c r="C843" s="356"/>
      <c r="D843" s="238"/>
      <c r="E843" s="212">
        <v>2017</v>
      </c>
      <c r="F843" s="157">
        <f t="shared" si="148"/>
        <v>5</v>
      </c>
      <c r="G843" s="7"/>
      <c r="H843" s="7"/>
      <c r="I843" s="7">
        <v>5</v>
      </c>
      <c r="J843" s="14"/>
      <c r="K843" s="244"/>
      <c r="L843" s="99"/>
    </row>
    <row r="844" spans="1:12" ht="15" x14ac:dyDescent="0.25">
      <c r="A844" s="351"/>
      <c r="B844" s="358"/>
      <c r="C844" s="356"/>
      <c r="D844" s="238"/>
      <c r="E844" s="212">
        <v>2018</v>
      </c>
      <c r="F844" s="157">
        <f t="shared" si="148"/>
        <v>0</v>
      </c>
      <c r="G844" s="7"/>
      <c r="H844" s="7"/>
      <c r="I844" s="7">
        <v>0</v>
      </c>
      <c r="J844" s="14"/>
      <c r="K844" s="244"/>
      <c r="L844" s="106"/>
    </row>
    <row r="845" spans="1:12" ht="15" x14ac:dyDescent="0.25">
      <c r="A845" s="351"/>
      <c r="B845" s="358"/>
      <c r="C845" s="356"/>
      <c r="D845" s="238"/>
      <c r="E845" s="212">
        <v>2019</v>
      </c>
      <c r="F845" s="157">
        <f t="shared" si="148"/>
        <v>0</v>
      </c>
      <c r="G845" s="7"/>
      <c r="H845" s="7"/>
      <c r="I845" s="7">
        <v>0</v>
      </c>
      <c r="J845" s="14"/>
      <c r="K845" s="244"/>
      <c r="L845" s="99"/>
    </row>
    <row r="846" spans="1:12" ht="15" x14ac:dyDescent="0.25">
      <c r="A846" s="351"/>
      <c r="B846" s="358"/>
      <c r="C846" s="356"/>
      <c r="D846" s="238"/>
      <c r="E846" s="212">
        <v>2020</v>
      </c>
      <c r="F846" s="157">
        <f t="shared" si="148"/>
        <v>0</v>
      </c>
      <c r="G846" s="7"/>
      <c r="H846" s="7"/>
      <c r="I846" s="7">
        <v>0</v>
      </c>
      <c r="J846" s="14"/>
      <c r="K846" s="244"/>
    </row>
    <row r="847" spans="1:12" ht="14.25" x14ac:dyDescent="0.2">
      <c r="A847" s="351"/>
      <c r="B847" s="358"/>
      <c r="C847" s="359"/>
      <c r="D847" s="239"/>
      <c r="E847" s="18" t="s">
        <v>18</v>
      </c>
      <c r="F847" s="159">
        <f>SUM(F841:F846)</f>
        <v>15.399999999999999</v>
      </c>
      <c r="G847" s="8"/>
      <c r="H847" s="8"/>
      <c r="I847" s="8">
        <f>SUM(I841:I846)</f>
        <v>15.399999999999999</v>
      </c>
      <c r="J847" s="14"/>
      <c r="K847" s="244"/>
    </row>
    <row r="848" spans="1:12" ht="15" x14ac:dyDescent="0.25">
      <c r="A848" s="350" t="s">
        <v>293</v>
      </c>
      <c r="B848" s="240" t="s">
        <v>100</v>
      </c>
      <c r="C848" s="277" t="s">
        <v>61</v>
      </c>
      <c r="D848" s="236" t="s">
        <v>209</v>
      </c>
      <c r="E848" s="212">
        <v>2015</v>
      </c>
      <c r="F848" s="157">
        <f t="shared" ref="F848:F853" si="149">SUM(G848:I848)</f>
        <v>4.5</v>
      </c>
      <c r="G848" s="7"/>
      <c r="H848" s="7"/>
      <c r="I848" s="7">
        <v>4.5</v>
      </c>
      <c r="J848" s="14"/>
      <c r="K848" s="244"/>
    </row>
    <row r="849" spans="1:19" ht="15" x14ac:dyDescent="0.25">
      <c r="A849" s="351"/>
      <c r="B849" s="241"/>
      <c r="C849" s="356"/>
      <c r="D849" s="238"/>
      <c r="E849" s="212">
        <v>2016</v>
      </c>
      <c r="F849" s="157">
        <f t="shared" si="149"/>
        <v>4.5999999999999996</v>
      </c>
      <c r="G849" s="7"/>
      <c r="H849" s="7"/>
      <c r="I849" s="7">
        <v>4.5999999999999996</v>
      </c>
      <c r="J849" s="14"/>
      <c r="K849" s="244"/>
    </row>
    <row r="850" spans="1:19" ht="15" x14ac:dyDescent="0.25">
      <c r="A850" s="351"/>
      <c r="B850" s="241"/>
      <c r="C850" s="356"/>
      <c r="D850" s="238"/>
      <c r="E850" s="212">
        <v>2017</v>
      </c>
      <c r="F850" s="157">
        <f t="shared" si="149"/>
        <v>4</v>
      </c>
      <c r="G850" s="7"/>
      <c r="H850" s="7"/>
      <c r="I850" s="7">
        <v>4</v>
      </c>
      <c r="J850" s="14"/>
      <c r="K850" s="244"/>
      <c r="L850" s="106"/>
    </row>
    <row r="851" spans="1:19" ht="15" x14ac:dyDescent="0.25">
      <c r="A851" s="351"/>
      <c r="B851" s="241"/>
      <c r="C851" s="356"/>
      <c r="D851" s="238"/>
      <c r="E851" s="212">
        <v>2018</v>
      </c>
      <c r="F851" s="157">
        <f t="shared" si="149"/>
        <v>0</v>
      </c>
      <c r="G851" s="7"/>
      <c r="H851" s="7"/>
      <c r="I851" s="7">
        <v>0</v>
      </c>
      <c r="J851" s="14"/>
      <c r="K851" s="244"/>
      <c r="L851" s="99"/>
    </row>
    <row r="852" spans="1:19" ht="15" x14ac:dyDescent="0.25">
      <c r="A852" s="351"/>
      <c r="B852" s="241"/>
      <c r="C852" s="356"/>
      <c r="D852" s="238"/>
      <c r="E852" s="212">
        <v>2019</v>
      </c>
      <c r="F852" s="157">
        <f t="shared" si="149"/>
        <v>0</v>
      </c>
      <c r="G852" s="7"/>
      <c r="H852" s="7"/>
      <c r="I852" s="7">
        <v>0</v>
      </c>
      <c r="J852" s="14"/>
      <c r="K852" s="244"/>
      <c r="L852" s="99"/>
    </row>
    <row r="853" spans="1:19" ht="15" x14ac:dyDescent="0.25">
      <c r="A853" s="351"/>
      <c r="B853" s="241"/>
      <c r="C853" s="356"/>
      <c r="D853" s="238"/>
      <c r="E853" s="212">
        <v>2020</v>
      </c>
      <c r="F853" s="157">
        <f t="shared" si="149"/>
        <v>0</v>
      </c>
      <c r="G853" s="7"/>
      <c r="H853" s="7"/>
      <c r="I853" s="7">
        <v>0</v>
      </c>
      <c r="J853" s="14"/>
      <c r="K853" s="244"/>
    </row>
    <row r="854" spans="1:19" ht="14.25" x14ac:dyDescent="0.2">
      <c r="A854" s="351"/>
      <c r="B854" s="241"/>
      <c r="C854" s="356"/>
      <c r="D854" s="239"/>
      <c r="E854" s="18" t="s">
        <v>18</v>
      </c>
      <c r="F854" s="159">
        <f>SUM(F848:F853)</f>
        <v>13.1</v>
      </c>
      <c r="G854" s="8"/>
      <c r="H854" s="8"/>
      <c r="I854" s="8">
        <f>SUM(I848:I853)</f>
        <v>13.1</v>
      </c>
      <c r="J854" s="14"/>
      <c r="K854" s="237"/>
    </row>
    <row r="855" spans="1:19" ht="15" x14ac:dyDescent="0.25">
      <c r="A855" s="350" t="s">
        <v>294</v>
      </c>
      <c r="B855" s="240" t="s">
        <v>0</v>
      </c>
      <c r="C855" s="277" t="s">
        <v>61</v>
      </c>
      <c r="D855" s="236" t="s">
        <v>209</v>
      </c>
      <c r="E855" s="212">
        <v>2015</v>
      </c>
      <c r="F855" s="163"/>
      <c r="G855" s="164"/>
      <c r="H855" s="164"/>
      <c r="I855" s="164"/>
      <c r="J855" s="2"/>
      <c r="K855" s="236" t="s">
        <v>175</v>
      </c>
    </row>
    <row r="856" spans="1:19" ht="15" x14ac:dyDescent="0.25">
      <c r="A856" s="351"/>
      <c r="B856" s="241"/>
      <c r="C856" s="356"/>
      <c r="D856" s="238"/>
      <c r="E856" s="212">
        <v>2016</v>
      </c>
      <c r="F856" s="163"/>
      <c r="G856" s="164"/>
      <c r="H856" s="164"/>
      <c r="I856" s="164"/>
      <c r="J856" s="2"/>
      <c r="K856" s="244"/>
    </row>
    <row r="857" spans="1:19" ht="15" x14ac:dyDescent="0.25">
      <c r="A857" s="351"/>
      <c r="B857" s="241"/>
      <c r="C857" s="356"/>
      <c r="D857" s="238"/>
      <c r="E857" s="212">
        <v>2017</v>
      </c>
      <c r="F857" s="163"/>
      <c r="G857" s="164"/>
      <c r="H857" s="164"/>
      <c r="I857" s="164"/>
      <c r="J857" s="2"/>
      <c r="K857" s="244"/>
    </row>
    <row r="858" spans="1:19" ht="15" x14ac:dyDescent="0.25">
      <c r="A858" s="351"/>
      <c r="B858" s="241"/>
      <c r="C858" s="356"/>
      <c r="D858" s="238"/>
      <c r="E858" s="212">
        <v>2018</v>
      </c>
      <c r="F858" s="163"/>
      <c r="G858" s="164"/>
      <c r="H858" s="164"/>
      <c r="I858" s="164"/>
      <c r="J858" s="2"/>
      <c r="K858" s="244"/>
      <c r="L858" s="135"/>
      <c r="M858" s="127"/>
    </row>
    <row r="859" spans="1:19" ht="15" x14ac:dyDescent="0.25">
      <c r="A859" s="351"/>
      <c r="B859" s="241"/>
      <c r="C859" s="356"/>
      <c r="D859" s="238"/>
      <c r="E859" s="212">
        <v>2019</v>
      </c>
      <c r="F859" s="163"/>
      <c r="G859" s="164"/>
      <c r="H859" s="164"/>
      <c r="I859" s="164"/>
      <c r="J859" s="2"/>
      <c r="K859" s="244"/>
    </row>
    <row r="860" spans="1:19" ht="15" x14ac:dyDescent="0.25">
      <c r="A860" s="351"/>
      <c r="B860" s="241"/>
      <c r="C860" s="356"/>
      <c r="D860" s="238"/>
      <c r="E860" s="212">
        <v>2020</v>
      </c>
      <c r="F860" s="163"/>
      <c r="G860" s="164"/>
      <c r="H860" s="164"/>
      <c r="I860" s="164"/>
      <c r="J860" s="2"/>
      <c r="K860" s="244"/>
    </row>
    <row r="861" spans="1:19" ht="15" x14ac:dyDescent="0.25">
      <c r="A861" s="355"/>
      <c r="B861" s="241"/>
      <c r="C861" s="356"/>
      <c r="D861" s="239"/>
      <c r="E861" s="18" t="s">
        <v>18</v>
      </c>
      <c r="F861" s="163"/>
      <c r="G861" s="164"/>
      <c r="H861" s="164"/>
      <c r="I861" s="164"/>
      <c r="J861" s="2"/>
      <c r="K861" s="237"/>
      <c r="P861" s="99" t="s">
        <v>320</v>
      </c>
    </row>
    <row r="862" spans="1:19" ht="15" customHeight="1" thickBot="1" x14ac:dyDescent="0.25">
      <c r="A862" s="381" t="s">
        <v>191</v>
      </c>
      <c r="B862" s="344"/>
      <c r="C862" s="344"/>
      <c r="D862" s="344"/>
      <c r="E862" s="54" t="s">
        <v>61</v>
      </c>
      <c r="F862" s="140">
        <f>SUM(G862:I862)</f>
        <v>2306.2999999999997</v>
      </c>
      <c r="G862" s="140"/>
      <c r="H862" s="140">
        <f>H854+H847+H840+H828+H816+H808+H861</f>
        <v>0</v>
      </c>
      <c r="I862" s="140">
        <f>I854+I847+I840+I828+I816+I808+I861</f>
        <v>2306.2999999999997</v>
      </c>
      <c r="J862" s="16"/>
      <c r="K862" s="82"/>
      <c r="L862" s="99" t="s">
        <v>318</v>
      </c>
      <c r="N862" s="99" t="s">
        <v>315</v>
      </c>
      <c r="P862" s="99" t="s">
        <v>316</v>
      </c>
      <c r="Q862" s="99" t="s">
        <v>317</v>
      </c>
      <c r="S862" s="99" t="s">
        <v>319</v>
      </c>
    </row>
    <row r="863" spans="1:19" ht="14.25" customHeight="1" thickBot="1" x14ac:dyDescent="0.25">
      <c r="A863" s="261" t="s">
        <v>331</v>
      </c>
      <c r="B863" s="262"/>
      <c r="C863" s="262"/>
      <c r="D863" s="262"/>
      <c r="E863" s="262"/>
      <c r="F863" s="262"/>
      <c r="G863" s="262"/>
      <c r="H863" s="262"/>
      <c r="I863" s="262"/>
      <c r="J863" s="262"/>
      <c r="K863" s="263"/>
      <c r="L863" s="99"/>
      <c r="N863" s="99"/>
      <c r="P863" s="99"/>
      <c r="Q863" s="99"/>
      <c r="S863" s="99"/>
    </row>
    <row r="864" spans="1:19" ht="15" customHeight="1" x14ac:dyDescent="0.25">
      <c r="A864" s="264" t="s">
        <v>148</v>
      </c>
      <c r="B864" s="253" t="s">
        <v>383</v>
      </c>
      <c r="C864" s="277" t="s">
        <v>299</v>
      </c>
      <c r="D864" s="236" t="s">
        <v>209</v>
      </c>
      <c r="E864" s="212">
        <v>2017</v>
      </c>
      <c r="F864" s="142">
        <f>G864+H864+I864+J864</f>
        <v>240.5</v>
      </c>
      <c r="G864" s="140"/>
      <c r="H864" s="140"/>
      <c r="I864" s="142">
        <v>240.5</v>
      </c>
      <c r="J864" s="16"/>
      <c r="K864" s="525" t="s">
        <v>147</v>
      </c>
      <c r="L864" s="106"/>
      <c r="N864" s="99"/>
      <c r="P864" s="99"/>
      <c r="Q864" s="99"/>
      <c r="S864" s="99"/>
    </row>
    <row r="865" spans="1:35" ht="15" customHeight="1" x14ac:dyDescent="0.25">
      <c r="A865" s="265"/>
      <c r="B865" s="240"/>
      <c r="C865" s="356"/>
      <c r="D865" s="238"/>
      <c r="E865" s="212">
        <v>2018</v>
      </c>
      <c r="F865" s="142">
        <f>I865</f>
        <v>0</v>
      </c>
      <c r="G865" s="141"/>
      <c r="H865" s="141"/>
      <c r="I865" s="142">
        <f>100-100</f>
        <v>0</v>
      </c>
      <c r="J865" s="16"/>
      <c r="K865" s="526"/>
      <c r="L865" s="99"/>
      <c r="N865" s="99"/>
      <c r="P865" s="99"/>
      <c r="Q865" s="99"/>
      <c r="S865" s="99"/>
    </row>
    <row r="866" spans="1:35" ht="15" customHeight="1" x14ac:dyDescent="0.25">
      <c r="A866" s="265"/>
      <c r="B866" s="240"/>
      <c r="C866" s="356"/>
      <c r="D866" s="238"/>
      <c r="E866" s="212">
        <v>2019</v>
      </c>
      <c r="F866" s="142">
        <f>I866</f>
        <v>0</v>
      </c>
      <c r="G866" s="142"/>
      <c r="H866" s="142"/>
      <c r="I866" s="142">
        <f>310-310</f>
        <v>0</v>
      </c>
      <c r="J866" s="16"/>
      <c r="K866" s="526"/>
      <c r="L866" s="99"/>
      <c r="N866" s="99"/>
      <c r="P866" s="99"/>
      <c r="Q866" s="99"/>
      <c r="S866" s="99"/>
    </row>
    <row r="867" spans="1:35" ht="15" customHeight="1" x14ac:dyDescent="0.25">
      <c r="A867" s="265"/>
      <c r="B867" s="240"/>
      <c r="C867" s="356"/>
      <c r="D867" s="238"/>
      <c r="E867" s="212">
        <v>2020</v>
      </c>
      <c r="F867" s="142">
        <f t="shared" ref="F867:F872" si="150">I867</f>
        <v>240</v>
      </c>
      <c r="G867" s="140"/>
      <c r="H867" s="140"/>
      <c r="I867" s="156">
        <v>240</v>
      </c>
      <c r="J867" s="16"/>
      <c r="K867" s="526"/>
      <c r="L867" s="99"/>
      <c r="N867" s="99"/>
      <c r="P867" s="99"/>
      <c r="Q867" s="99"/>
      <c r="S867" s="99"/>
    </row>
    <row r="868" spans="1:35" ht="15" customHeight="1" x14ac:dyDescent="0.25">
      <c r="A868" s="265"/>
      <c r="B868" s="240"/>
      <c r="C868" s="356"/>
      <c r="D868" s="238"/>
      <c r="E868" s="224">
        <v>2021</v>
      </c>
      <c r="F868" s="142">
        <f t="shared" si="150"/>
        <v>240</v>
      </c>
      <c r="G868" s="140"/>
      <c r="H868" s="140"/>
      <c r="I868" s="142">
        <v>240</v>
      </c>
      <c r="J868" s="16"/>
      <c r="K868" s="526"/>
      <c r="L868" s="106"/>
      <c r="N868" s="99"/>
      <c r="P868" s="99"/>
      <c r="Q868" s="99"/>
      <c r="S868" s="99"/>
    </row>
    <row r="869" spans="1:35" ht="15" customHeight="1" x14ac:dyDescent="0.25">
      <c r="A869" s="265"/>
      <c r="B869" s="240"/>
      <c r="C869" s="356"/>
      <c r="D869" s="238"/>
      <c r="E869" s="224">
        <v>2022</v>
      </c>
      <c r="F869" s="142">
        <f t="shared" si="150"/>
        <v>240</v>
      </c>
      <c r="G869" s="141"/>
      <c r="H869" s="141"/>
      <c r="I869" s="142">
        <v>240</v>
      </c>
      <c r="J869" s="16"/>
      <c r="K869" s="526"/>
      <c r="L869" s="99"/>
      <c r="N869" s="99"/>
      <c r="P869" s="99"/>
      <c r="Q869" s="99"/>
      <c r="S869" s="99"/>
    </row>
    <row r="870" spans="1:35" ht="14.25" customHeight="1" x14ac:dyDescent="0.25">
      <c r="A870" s="265"/>
      <c r="B870" s="240"/>
      <c r="C870" s="356"/>
      <c r="D870" s="238"/>
      <c r="E870" s="224">
        <v>2023</v>
      </c>
      <c r="F870" s="142">
        <f t="shared" si="150"/>
        <v>240</v>
      </c>
      <c r="G870" s="142"/>
      <c r="H870" s="142"/>
      <c r="I870" s="142">
        <v>240</v>
      </c>
      <c r="J870" s="16"/>
      <c r="K870" s="526"/>
      <c r="L870" s="99"/>
      <c r="N870" s="99"/>
      <c r="P870" s="99"/>
      <c r="Q870" s="99"/>
      <c r="S870" s="99"/>
    </row>
    <row r="871" spans="1:35" ht="15.75" customHeight="1" x14ac:dyDescent="0.25">
      <c r="A871" s="265"/>
      <c r="B871" s="240"/>
      <c r="C871" s="356"/>
      <c r="D871" s="238"/>
      <c r="E871" s="224">
        <v>2024</v>
      </c>
      <c r="F871" s="142">
        <f t="shared" si="150"/>
        <v>240</v>
      </c>
      <c r="G871" s="140"/>
      <c r="H871" s="140"/>
      <c r="I871" s="156">
        <v>240</v>
      </c>
      <c r="J871" s="16"/>
      <c r="K871" s="526"/>
      <c r="L871" s="99"/>
      <c r="N871" s="99"/>
      <c r="P871" s="99"/>
      <c r="Q871" s="99"/>
      <c r="S871" s="99"/>
    </row>
    <row r="872" spans="1:35" ht="15" customHeight="1" x14ac:dyDescent="0.25">
      <c r="A872" s="265"/>
      <c r="B872" s="240"/>
      <c r="C872" s="356"/>
      <c r="D872" s="238"/>
      <c r="E872" s="224">
        <v>2025</v>
      </c>
      <c r="F872" s="142">
        <f t="shared" si="150"/>
        <v>240</v>
      </c>
      <c r="G872" s="140"/>
      <c r="H872" s="140"/>
      <c r="I872" s="156">
        <v>240</v>
      </c>
      <c r="J872" s="16"/>
      <c r="K872" s="526"/>
      <c r="L872" s="99"/>
      <c r="N872" s="99"/>
      <c r="P872" s="99"/>
      <c r="Q872" s="99"/>
      <c r="S872" s="99"/>
    </row>
    <row r="873" spans="1:35" ht="18" customHeight="1" thickBot="1" x14ac:dyDescent="0.25">
      <c r="A873" s="265"/>
      <c r="B873" s="240"/>
      <c r="C873" s="356"/>
      <c r="D873" s="238"/>
      <c r="E873" s="266" t="s">
        <v>18</v>
      </c>
      <c r="F873" s="268">
        <f>SUM(F864:F872)</f>
        <v>1680.5</v>
      </c>
      <c r="G873" s="270"/>
      <c r="H873" s="270"/>
      <c r="I873" s="268">
        <f>SUM(I864:I872)</f>
        <v>1680.5</v>
      </c>
      <c r="J873" s="270"/>
      <c r="K873" s="526"/>
      <c r="L873" s="99"/>
      <c r="N873" s="99"/>
      <c r="P873" s="99"/>
      <c r="Q873" s="99"/>
      <c r="S873" s="99"/>
    </row>
    <row r="874" spans="1:35" ht="6.75" hidden="1" customHeight="1" thickBot="1" x14ac:dyDescent="0.25">
      <c r="A874" s="265"/>
      <c r="B874" s="240"/>
      <c r="C874" s="356"/>
      <c r="D874" s="238"/>
      <c r="E874" s="267"/>
      <c r="F874" s="269"/>
      <c r="G874" s="271"/>
      <c r="H874" s="271"/>
      <c r="I874" s="269"/>
      <c r="J874" s="271"/>
      <c r="K874" s="526"/>
      <c r="L874" s="99"/>
      <c r="N874" s="99"/>
      <c r="P874" s="99"/>
      <c r="Q874" s="99"/>
      <c r="S874" s="99"/>
    </row>
    <row r="875" spans="1:35" ht="13.5" hidden="1" customHeight="1" x14ac:dyDescent="0.2">
      <c r="A875" s="265"/>
      <c r="B875" s="251"/>
      <c r="C875" s="359"/>
      <c r="D875" s="238"/>
      <c r="E875" s="267"/>
      <c r="F875" s="269"/>
      <c r="G875" s="271"/>
      <c r="H875" s="271"/>
      <c r="I875" s="269"/>
      <c r="J875" s="271"/>
      <c r="K875" s="526"/>
      <c r="L875" s="99"/>
      <c r="N875" s="99"/>
      <c r="P875" s="99"/>
      <c r="Q875" s="99"/>
      <c r="S875" s="99"/>
    </row>
    <row r="876" spans="1:35" ht="26.25" thickBot="1" x14ac:dyDescent="0.25">
      <c r="A876" s="382" t="s">
        <v>211</v>
      </c>
      <c r="B876" s="383"/>
      <c r="C876" s="383"/>
      <c r="D876" s="384"/>
      <c r="E876" s="193" t="s">
        <v>61</v>
      </c>
      <c r="F876" s="194">
        <f>F873</f>
        <v>1680.5</v>
      </c>
      <c r="G876" s="194"/>
      <c r="H876" s="194">
        <f>H873</f>
        <v>0</v>
      </c>
      <c r="I876" s="194">
        <f>I873</f>
        <v>1680.5</v>
      </c>
      <c r="J876" s="94"/>
      <c r="K876" s="175"/>
      <c r="L876" s="126"/>
      <c r="M876" s="127"/>
      <c r="N876" s="99"/>
      <c r="P876" s="99"/>
      <c r="Q876" s="99"/>
      <c r="S876" s="99"/>
    </row>
    <row r="877" spans="1:35" ht="47.25" customHeight="1" x14ac:dyDescent="0.25">
      <c r="A877" s="533" t="s">
        <v>204</v>
      </c>
      <c r="B877" s="534"/>
      <c r="C877" s="534"/>
      <c r="D877" s="539"/>
      <c r="E877" s="195" t="s">
        <v>61</v>
      </c>
      <c r="F877" s="189" t="s">
        <v>18</v>
      </c>
      <c r="G877" s="190" t="s">
        <v>10</v>
      </c>
      <c r="H877" s="191" t="s">
        <v>11</v>
      </c>
      <c r="I877" s="191" t="s">
        <v>12</v>
      </c>
      <c r="J877" s="191" t="s">
        <v>13</v>
      </c>
      <c r="K877" s="192"/>
      <c r="M877" s="117"/>
      <c r="N877" s="107"/>
      <c r="O877" s="117"/>
    </row>
    <row r="878" spans="1:35" ht="16.5" thickBot="1" x14ac:dyDescent="0.3">
      <c r="A878" s="536"/>
      <c r="B878" s="537"/>
      <c r="C878" s="537"/>
      <c r="D878" s="540"/>
      <c r="E878" s="196"/>
      <c r="F878" s="140">
        <f>SUM(G878:J878)</f>
        <v>114547.2</v>
      </c>
      <c r="G878" s="140"/>
      <c r="H878" s="141">
        <f>H862+H798+H771+H749+H708+H876</f>
        <v>103723.3</v>
      </c>
      <c r="I878" s="141">
        <f>I862+I798+I771+I749+I708+I876</f>
        <v>10823.9</v>
      </c>
      <c r="J878" s="142"/>
      <c r="K878" s="51"/>
      <c r="L878" s="133"/>
      <c r="M878" s="134"/>
      <c r="N878" s="28"/>
      <c r="O878" s="28"/>
      <c r="P878" s="28"/>
      <c r="Q878" s="28"/>
      <c r="R878" s="28"/>
      <c r="S878" s="28"/>
      <c r="T878" s="28"/>
      <c r="U878" s="28"/>
      <c r="V878" s="28"/>
    </row>
    <row r="879" spans="1:35" ht="18" x14ac:dyDescent="0.2">
      <c r="A879" s="301" t="s">
        <v>219</v>
      </c>
      <c r="B879" s="302"/>
      <c r="C879" s="302"/>
      <c r="D879" s="302"/>
      <c r="E879" s="380"/>
      <c r="F879" s="380"/>
      <c r="G879" s="380"/>
      <c r="H879" s="380"/>
      <c r="I879" s="380"/>
      <c r="J879" s="380"/>
      <c r="K879" s="38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38"/>
      <c r="X879" s="38"/>
      <c r="Y879" s="38"/>
      <c r="Z879" s="38"/>
      <c r="AA879" s="38"/>
      <c r="AB879" s="38"/>
      <c r="AC879" s="38"/>
      <c r="AD879" s="38"/>
      <c r="AE879" s="38"/>
      <c r="AF879" s="38"/>
      <c r="AG879" s="38"/>
      <c r="AH879" s="38"/>
      <c r="AI879" s="39"/>
    </row>
    <row r="880" spans="1:35" ht="16.5" thickBot="1" x14ac:dyDescent="0.25">
      <c r="A880" s="373" t="s">
        <v>205</v>
      </c>
      <c r="B880" s="374"/>
      <c r="C880" s="374"/>
      <c r="D880" s="374"/>
      <c r="E880" s="321"/>
      <c r="F880" s="321"/>
      <c r="G880" s="321"/>
      <c r="H880" s="321"/>
      <c r="I880" s="321"/>
      <c r="J880" s="321"/>
      <c r="K880" s="321"/>
      <c r="L880" s="57"/>
      <c r="M880" s="57"/>
      <c r="N880" s="57"/>
      <c r="O880" s="57"/>
      <c r="P880" s="57"/>
      <c r="Q880" s="57"/>
      <c r="R880" s="57"/>
      <c r="S880" s="57"/>
      <c r="T880" s="57"/>
      <c r="U880" s="57"/>
      <c r="V880" s="57"/>
      <c r="W880" s="83"/>
      <c r="X880" s="83"/>
      <c r="Y880" s="83"/>
      <c r="Z880" s="83"/>
      <c r="AA880" s="83"/>
      <c r="AB880" s="83"/>
      <c r="AC880" s="83"/>
      <c r="AD880" s="83"/>
      <c r="AE880" s="83"/>
      <c r="AF880" s="83"/>
      <c r="AG880" s="83"/>
      <c r="AH880" s="83"/>
      <c r="AI880" s="84"/>
    </row>
    <row r="881" spans="1:22" ht="15" x14ac:dyDescent="0.25">
      <c r="A881" s="364" t="s">
        <v>101</v>
      </c>
      <c r="B881" s="376" t="s">
        <v>102</v>
      </c>
      <c r="C881" s="242" t="s">
        <v>408</v>
      </c>
      <c r="D881" s="236" t="s">
        <v>209</v>
      </c>
      <c r="E881" s="212">
        <v>2015</v>
      </c>
      <c r="F881" s="156">
        <f t="shared" ref="F881:F886" si="151">SUM(G881:J881)</f>
        <v>4484.7</v>
      </c>
      <c r="G881" s="7"/>
      <c r="H881" s="7"/>
      <c r="I881" s="7">
        <v>4092.2</v>
      </c>
      <c r="J881" s="7">
        <v>392.5</v>
      </c>
      <c r="K881" s="236" t="s">
        <v>172</v>
      </c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</row>
    <row r="882" spans="1:22" ht="15" x14ac:dyDescent="0.25">
      <c r="A882" s="365"/>
      <c r="B882" s="377"/>
      <c r="C882" s="243"/>
      <c r="D882" s="238"/>
      <c r="E882" s="212">
        <v>2016</v>
      </c>
      <c r="F882" s="156">
        <f t="shared" si="151"/>
        <v>4690</v>
      </c>
      <c r="G882" s="7"/>
      <c r="H882" s="7"/>
      <c r="I882" s="7">
        <f>3801.5+222.3-0.4</f>
        <v>4023.4</v>
      </c>
      <c r="J882" s="7">
        <f>58.3+608.3</f>
        <v>666.59999999999991</v>
      </c>
      <c r="K882" s="244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</row>
    <row r="883" spans="1:22" ht="15" x14ac:dyDescent="0.25">
      <c r="A883" s="365"/>
      <c r="B883" s="377"/>
      <c r="C883" s="243"/>
      <c r="D883" s="238"/>
      <c r="E883" s="212">
        <v>2017</v>
      </c>
      <c r="F883" s="156">
        <f t="shared" si="151"/>
        <v>5150.5</v>
      </c>
      <c r="G883" s="7"/>
      <c r="H883" s="7"/>
      <c r="I883" s="7">
        <v>4386.7</v>
      </c>
      <c r="J883" s="7">
        <f>692.8+71</f>
        <v>763.8</v>
      </c>
      <c r="K883" s="244"/>
      <c r="L883" s="99" t="s">
        <v>370</v>
      </c>
      <c r="M883" s="125" t="s">
        <v>368</v>
      </c>
      <c r="N883" s="138" t="s">
        <v>369</v>
      </c>
      <c r="O883" s="137" t="s">
        <v>371</v>
      </c>
    </row>
    <row r="884" spans="1:22" ht="15" x14ac:dyDescent="0.25">
      <c r="A884" s="365"/>
      <c r="B884" s="377"/>
      <c r="C884" s="243"/>
      <c r="D884" s="238"/>
      <c r="E884" s="212">
        <v>2018</v>
      </c>
      <c r="F884" s="156">
        <f t="shared" si="151"/>
        <v>9280.6</v>
      </c>
      <c r="G884" s="7"/>
      <c r="H884" s="7"/>
      <c r="I884" s="7">
        <f>10993.2-3029.3</f>
        <v>7963.9000000000005</v>
      </c>
      <c r="J884" s="7">
        <v>1316.7</v>
      </c>
      <c r="K884" s="244"/>
      <c r="L884" s="99"/>
    </row>
    <row r="885" spans="1:22" ht="15" x14ac:dyDescent="0.25">
      <c r="A885" s="365"/>
      <c r="B885" s="377"/>
      <c r="C885" s="243"/>
      <c r="D885" s="238"/>
      <c r="E885" s="212">
        <v>2019</v>
      </c>
      <c r="F885" s="156">
        <f t="shared" si="151"/>
        <v>11324.5</v>
      </c>
      <c r="G885" s="7"/>
      <c r="H885" s="7"/>
      <c r="I885" s="7">
        <f>9830.8+91.1</f>
        <v>9921.9</v>
      </c>
      <c r="J885" s="7">
        <f>67.5+1335.1</f>
        <v>1402.6</v>
      </c>
      <c r="K885" s="244"/>
      <c r="L885" s="99"/>
    </row>
    <row r="886" spans="1:22" ht="15" x14ac:dyDescent="0.25">
      <c r="A886" s="365"/>
      <c r="B886" s="377"/>
      <c r="C886" s="243"/>
      <c r="D886" s="238"/>
      <c r="E886" s="212">
        <v>2020</v>
      </c>
      <c r="F886" s="156">
        <f t="shared" si="151"/>
        <v>5948.9</v>
      </c>
      <c r="G886" s="7"/>
      <c r="H886" s="7"/>
      <c r="I886" s="7">
        <v>5878</v>
      </c>
      <c r="J886" s="7">
        <v>70.900000000000006</v>
      </c>
      <c r="K886" s="244"/>
    </row>
    <row r="887" spans="1:22" ht="15" x14ac:dyDescent="0.25">
      <c r="A887" s="375"/>
      <c r="B887" s="378"/>
      <c r="C887" s="317"/>
      <c r="D887" s="238"/>
      <c r="E887" s="224">
        <v>2021</v>
      </c>
      <c r="F887" s="156">
        <f t="shared" ref="F887:F891" si="152">SUM(G887:J887)</f>
        <v>3065.9</v>
      </c>
      <c r="G887" s="7"/>
      <c r="H887" s="7"/>
      <c r="I887" s="7">
        <v>2995</v>
      </c>
      <c r="J887" s="7">
        <v>70.900000000000006</v>
      </c>
      <c r="K887" s="244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</row>
    <row r="888" spans="1:22" ht="15" x14ac:dyDescent="0.25">
      <c r="A888" s="375"/>
      <c r="B888" s="378"/>
      <c r="C888" s="317"/>
      <c r="D888" s="238"/>
      <c r="E888" s="224">
        <v>2022</v>
      </c>
      <c r="F888" s="156">
        <f t="shared" si="152"/>
        <v>3270.9</v>
      </c>
      <c r="G888" s="7"/>
      <c r="H888" s="7"/>
      <c r="I888" s="7">
        <v>3200</v>
      </c>
      <c r="J888" s="7">
        <v>70.900000000000006</v>
      </c>
      <c r="K888" s="244"/>
      <c r="L888" s="99" t="s">
        <v>370</v>
      </c>
      <c r="M888" s="125" t="s">
        <v>368</v>
      </c>
      <c r="N888" s="138" t="s">
        <v>369</v>
      </c>
      <c r="O888" s="137" t="s">
        <v>371</v>
      </c>
    </row>
    <row r="889" spans="1:22" ht="15" x14ac:dyDescent="0.25">
      <c r="A889" s="375"/>
      <c r="B889" s="378"/>
      <c r="C889" s="317"/>
      <c r="D889" s="238"/>
      <c r="E889" s="224">
        <v>2023</v>
      </c>
      <c r="F889" s="156">
        <f t="shared" si="152"/>
        <v>3398.9</v>
      </c>
      <c r="G889" s="7"/>
      <c r="H889" s="7"/>
      <c r="I889" s="7">
        <v>3328</v>
      </c>
      <c r="J889" s="7">
        <v>70.900000000000006</v>
      </c>
      <c r="K889" s="244"/>
      <c r="L889" s="99"/>
    </row>
    <row r="890" spans="1:22" ht="15" x14ac:dyDescent="0.25">
      <c r="A890" s="375"/>
      <c r="B890" s="378"/>
      <c r="C890" s="317"/>
      <c r="D890" s="238"/>
      <c r="E890" s="224">
        <v>2024</v>
      </c>
      <c r="F890" s="156">
        <f t="shared" si="152"/>
        <v>3531.9</v>
      </c>
      <c r="G890" s="7"/>
      <c r="H890" s="7"/>
      <c r="I890" s="7">
        <v>3461</v>
      </c>
      <c r="J890" s="7">
        <v>70.900000000000006</v>
      </c>
      <c r="K890" s="244"/>
      <c r="L890" s="99"/>
    </row>
    <row r="891" spans="1:22" ht="15" x14ac:dyDescent="0.25">
      <c r="A891" s="375"/>
      <c r="B891" s="378"/>
      <c r="C891" s="317"/>
      <c r="D891" s="238"/>
      <c r="E891" s="224">
        <v>2025</v>
      </c>
      <c r="F891" s="156">
        <f t="shared" si="152"/>
        <v>3670.9</v>
      </c>
      <c r="G891" s="7"/>
      <c r="H891" s="7"/>
      <c r="I891" s="7">
        <v>3600</v>
      </c>
      <c r="J891" s="7">
        <v>70.900000000000006</v>
      </c>
      <c r="K891" s="244"/>
    </row>
    <row r="892" spans="1:22" ht="14.25" x14ac:dyDescent="0.2">
      <c r="A892" s="375"/>
      <c r="B892" s="378"/>
      <c r="C892" s="317"/>
      <c r="D892" s="238"/>
      <c r="E892" s="18" t="s">
        <v>18</v>
      </c>
      <c r="F892" s="140">
        <f>SUM(F881:F891)</f>
        <v>57817.700000000012</v>
      </c>
      <c r="G892" s="140"/>
      <c r="H892" s="140">
        <f>SUM(H881:H886)</f>
        <v>0</v>
      </c>
      <c r="I892" s="140">
        <f>SUM(I881:I891)</f>
        <v>52850.1</v>
      </c>
      <c r="J892" s="140">
        <f>SUM(J881:J891)</f>
        <v>4967.5999999999976</v>
      </c>
      <c r="K892" s="244"/>
    </row>
    <row r="893" spans="1:22" ht="15" x14ac:dyDescent="0.25">
      <c r="A893" s="361" t="s">
        <v>103</v>
      </c>
      <c r="B893" s="278" t="s">
        <v>104</v>
      </c>
      <c r="C893" s="242" t="s">
        <v>408</v>
      </c>
      <c r="D893" s="277" t="s">
        <v>209</v>
      </c>
      <c r="E893" s="212">
        <v>2015</v>
      </c>
      <c r="F893" s="156">
        <f t="shared" ref="F893:F898" si="153">SUM(G893:J893)</f>
        <v>448.20000000000005</v>
      </c>
      <c r="G893" s="7"/>
      <c r="H893" s="7"/>
      <c r="I893" s="7">
        <v>251.4</v>
      </c>
      <c r="J893" s="7">
        <v>196.8</v>
      </c>
      <c r="K893" s="244"/>
    </row>
    <row r="894" spans="1:22" ht="15" x14ac:dyDescent="0.25">
      <c r="A894" s="379"/>
      <c r="B894" s="279"/>
      <c r="C894" s="243"/>
      <c r="D894" s="243"/>
      <c r="E894" s="212">
        <v>2016</v>
      </c>
      <c r="F894" s="156">
        <f t="shared" si="153"/>
        <v>478.19999999999993</v>
      </c>
      <c r="G894" s="7"/>
      <c r="H894" s="7"/>
      <c r="I894" s="7">
        <f>414.2-142.9</f>
        <v>271.29999999999995</v>
      </c>
      <c r="J894" s="7">
        <f>206.6+0.3</f>
        <v>206.9</v>
      </c>
      <c r="K894" s="244"/>
    </row>
    <row r="895" spans="1:22" ht="15" x14ac:dyDescent="0.25">
      <c r="A895" s="379"/>
      <c r="B895" s="279"/>
      <c r="C895" s="243"/>
      <c r="D895" s="243"/>
      <c r="E895" s="212">
        <v>2017</v>
      </c>
      <c r="F895" s="156">
        <f t="shared" si="153"/>
        <v>485</v>
      </c>
      <c r="G895" s="7"/>
      <c r="H895" s="7"/>
      <c r="I895" s="7">
        <v>355.7</v>
      </c>
      <c r="J895" s="7">
        <f>110.1+19.2</f>
        <v>129.29999999999998</v>
      </c>
      <c r="K895" s="244"/>
      <c r="L895" s="99" t="s">
        <v>375</v>
      </c>
      <c r="M895" s="125" t="s">
        <v>372</v>
      </c>
      <c r="N895" s="138" t="s">
        <v>373</v>
      </c>
      <c r="O895" s="137" t="s">
        <v>374</v>
      </c>
    </row>
    <row r="896" spans="1:22" ht="15" x14ac:dyDescent="0.25">
      <c r="A896" s="379"/>
      <c r="B896" s="279"/>
      <c r="C896" s="243"/>
      <c r="D896" s="243"/>
      <c r="E896" s="212">
        <v>2018</v>
      </c>
      <c r="F896" s="156">
        <f t="shared" si="153"/>
        <v>636.70000000000005</v>
      </c>
      <c r="G896" s="7"/>
      <c r="H896" s="7"/>
      <c r="I896" s="7">
        <f>337.1+35.1</f>
        <v>372.20000000000005</v>
      </c>
      <c r="J896" s="7">
        <f>284.8-20.3</f>
        <v>264.5</v>
      </c>
      <c r="K896" s="244"/>
      <c r="L896" s="99"/>
    </row>
    <row r="897" spans="1:15" ht="15" x14ac:dyDescent="0.25">
      <c r="A897" s="379"/>
      <c r="B897" s="279"/>
      <c r="C897" s="243"/>
      <c r="D897" s="243"/>
      <c r="E897" s="212">
        <v>2019</v>
      </c>
      <c r="F897" s="156">
        <f t="shared" si="153"/>
        <v>591.90000000000009</v>
      </c>
      <c r="G897" s="7"/>
      <c r="H897" s="7"/>
      <c r="I897" s="7">
        <f>374.6-49.4</f>
        <v>325.20000000000005</v>
      </c>
      <c r="J897" s="7">
        <f>239.1+27.6</f>
        <v>266.7</v>
      </c>
      <c r="K897" s="244"/>
      <c r="L897" s="99"/>
    </row>
    <row r="898" spans="1:15" ht="15" x14ac:dyDescent="0.25">
      <c r="A898" s="379"/>
      <c r="B898" s="279"/>
      <c r="C898" s="243"/>
      <c r="D898" s="243"/>
      <c r="E898" s="212">
        <v>2020</v>
      </c>
      <c r="F898" s="156">
        <f t="shared" si="153"/>
        <v>557.6</v>
      </c>
      <c r="G898" s="7"/>
      <c r="H898" s="7"/>
      <c r="I898" s="7">
        <v>306.60000000000002</v>
      </c>
      <c r="J898" s="7">
        <f>251</f>
        <v>251</v>
      </c>
      <c r="K898" s="244"/>
    </row>
    <row r="899" spans="1:15" ht="15" x14ac:dyDescent="0.25">
      <c r="A899" s="379"/>
      <c r="B899" s="279"/>
      <c r="C899" s="243"/>
      <c r="D899" s="243"/>
      <c r="E899" s="224">
        <v>2021</v>
      </c>
      <c r="F899" s="156">
        <f t="shared" ref="F899:F903" si="154">SUM(G899:J899)</f>
        <v>452.6</v>
      </c>
      <c r="G899" s="7"/>
      <c r="H899" s="7"/>
      <c r="I899" s="7">
        <v>201.6</v>
      </c>
      <c r="J899" s="7">
        <v>251</v>
      </c>
      <c r="K899" s="244"/>
    </row>
    <row r="900" spans="1:15" ht="15" x14ac:dyDescent="0.25">
      <c r="A900" s="379"/>
      <c r="B900" s="279"/>
      <c r="C900" s="243"/>
      <c r="D900" s="243"/>
      <c r="E900" s="224">
        <v>2022</v>
      </c>
      <c r="F900" s="156">
        <f t="shared" si="154"/>
        <v>551.5</v>
      </c>
      <c r="G900" s="7"/>
      <c r="H900" s="7"/>
      <c r="I900" s="7">
        <v>300.5</v>
      </c>
      <c r="J900" s="7">
        <v>251</v>
      </c>
      <c r="K900" s="244"/>
    </row>
    <row r="901" spans="1:15" ht="15" x14ac:dyDescent="0.25">
      <c r="A901" s="379"/>
      <c r="B901" s="279"/>
      <c r="C901" s="243"/>
      <c r="D901" s="243"/>
      <c r="E901" s="224">
        <v>2023</v>
      </c>
      <c r="F901" s="156">
        <f t="shared" si="154"/>
        <v>563.5</v>
      </c>
      <c r="G901" s="7"/>
      <c r="H901" s="7"/>
      <c r="I901" s="7">
        <v>312.5</v>
      </c>
      <c r="J901" s="7">
        <v>251</v>
      </c>
      <c r="K901" s="244"/>
      <c r="L901" s="99" t="s">
        <v>375</v>
      </c>
      <c r="M901" s="125" t="s">
        <v>372</v>
      </c>
      <c r="N901" s="138" t="s">
        <v>373</v>
      </c>
      <c r="O901" s="137" t="s">
        <v>374</v>
      </c>
    </row>
    <row r="902" spans="1:15" ht="15" x14ac:dyDescent="0.25">
      <c r="A902" s="379"/>
      <c r="B902" s="279"/>
      <c r="C902" s="243"/>
      <c r="D902" s="243"/>
      <c r="E902" s="224">
        <v>2024</v>
      </c>
      <c r="F902" s="156">
        <f t="shared" si="154"/>
        <v>576</v>
      </c>
      <c r="G902" s="7"/>
      <c r="H902" s="7"/>
      <c r="I902" s="7">
        <v>325</v>
      </c>
      <c r="J902" s="7">
        <v>251</v>
      </c>
      <c r="K902" s="244"/>
      <c r="L902" s="99"/>
    </row>
    <row r="903" spans="1:15" ht="15" x14ac:dyDescent="0.25">
      <c r="A903" s="379"/>
      <c r="B903" s="279"/>
      <c r="C903" s="243"/>
      <c r="D903" s="243"/>
      <c r="E903" s="224">
        <v>2025</v>
      </c>
      <c r="F903" s="156">
        <f t="shared" si="154"/>
        <v>589</v>
      </c>
      <c r="G903" s="7"/>
      <c r="H903" s="7"/>
      <c r="I903" s="7">
        <v>338</v>
      </c>
      <c r="J903" s="7">
        <v>251</v>
      </c>
      <c r="K903" s="244"/>
      <c r="L903" s="99"/>
    </row>
    <row r="904" spans="1:15" ht="14.25" x14ac:dyDescent="0.2">
      <c r="A904" s="379"/>
      <c r="B904" s="279"/>
      <c r="C904" s="243"/>
      <c r="D904" s="243"/>
      <c r="E904" s="18" t="s">
        <v>18</v>
      </c>
      <c r="F904" s="140">
        <f>SUM(F893:F903)</f>
        <v>5930.2000000000007</v>
      </c>
      <c r="G904" s="140"/>
      <c r="H904" s="140">
        <f>SUM(H893:H898)</f>
        <v>0</v>
      </c>
      <c r="I904" s="140">
        <f>SUM(I893:I903)</f>
        <v>3360</v>
      </c>
      <c r="J904" s="140">
        <f>SUM(J893:J903)</f>
        <v>2570.1999999999998</v>
      </c>
      <c r="K904" s="244"/>
    </row>
    <row r="905" spans="1:15" ht="15" x14ac:dyDescent="0.25">
      <c r="A905" s="361" t="s">
        <v>105</v>
      </c>
      <c r="B905" s="278" t="s">
        <v>263</v>
      </c>
      <c r="C905" s="242" t="s">
        <v>408</v>
      </c>
      <c r="D905" s="277" t="s">
        <v>209</v>
      </c>
      <c r="E905" s="212">
        <v>2015</v>
      </c>
      <c r="F905" s="156">
        <f t="shared" ref="F905:F910" si="155">SUM(G905:J905)</f>
        <v>402.69999999999993</v>
      </c>
      <c r="G905" s="7"/>
      <c r="H905" s="7"/>
      <c r="I905" s="7">
        <f>344.4+6.9</f>
        <v>351.29999999999995</v>
      </c>
      <c r="J905" s="7">
        <v>51.4</v>
      </c>
      <c r="K905" s="244"/>
    </row>
    <row r="906" spans="1:15" ht="15" x14ac:dyDescent="0.25">
      <c r="A906" s="379"/>
      <c r="B906" s="278"/>
      <c r="C906" s="243"/>
      <c r="D906" s="243"/>
      <c r="E906" s="212">
        <v>2016</v>
      </c>
      <c r="F906" s="156">
        <f t="shared" si="155"/>
        <v>681.2</v>
      </c>
      <c r="G906" s="7"/>
      <c r="H906" s="7"/>
      <c r="I906" s="7">
        <f>363.3+262.6</f>
        <v>625.90000000000009</v>
      </c>
      <c r="J906" s="7">
        <f>54+1.3</f>
        <v>55.3</v>
      </c>
      <c r="K906" s="244"/>
    </row>
    <row r="907" spans="1:15" ht="15" x14ac:dyDescent="0.25">
      <c r="A907" s="379"/>
      <c r="B907" s="278"/>
      <c r="C907" s="243"/>
      <c r="D907" s="243"/>
      <c r="E907" s="212">
        <v>2017</v>
      </c>
      <c r="F907" s="156">
        <f t="shared" si="155"/>
        <v>877.6</v>
      </c>
      <c r="G907" s="7"/>
      <c r="H907" s="7"/>
      <c r="I907" s="7">
        <v>678.1</v>
      </c>
      <c r="J907" s="7">
        <f>169.8+29.7</f>
        <v>199.5</v>
      </c>
      <c r="K907" s="244"/>
      <c r="L907" s="99" t="s">
        <v>379</v>
      </c>
      <c r="M907" s="125" t="s">
        <v>376</v>
      </c>
      <c r="N907" s="138" t="s">
        <v>377</v>
      </c>
      <c r="O907" s="137" t="s">
        <v>378</v>
      </c>
    </row>
    <row r="908" spans="1:15" ht="15" x14ac:dyDescent="0.25">
      <c r="A908" s="379"/>
      <c r="B908" s="278"/>
      <c r="C908" s="243"/>
      <c r="D908" s="243"/>
      <c r="E908" s="212">
        <v>2018</v>
      </c>
      <c r="F908" s="156">
        <f t="shared" si="155"/>
        <v>1706.1</v>
      </c>
      <c r="G908" s="7"/>
      <c r="H908" s="7"/>
      <c r="I908" s="7">
        <f>1042.6+242.6</f>
        <v>1285.1999999999998</v>
      </c>
      <c r="J908" s="7">
        <f>416.7+4.2</f>
        <v>420.9</v>
      </c>
      <c r="K908" s="244"/>
      <c r="L908" s="99"/>
    </row>
    <row r="909" spans="1:15" ht="15" x14ac:dyDescent="0.25">
      <c r="A909" s="379"/>
      <c r="B909" s="278"/>
      <c r="C909" s="243"/>
      <c r="D909" s="243"/>
      <c r="E909" s="212">
        <v>2019</v>
      </c>
      <c r="F909" s="156">
        <f t="shared" si="155"/>
        <v>1114.8999999999999</v>
      </c>
      <c r="G909" s="7"/>
      <c r="H909" s="7"/>
      <c r="I909" s="7">
        <f>1254.6-527.6</f>
        <v>726.99999999999989</v>
      </c>
      <c r="J909" s="7">
        <f>62.5+325.4</f>
        <v>387.9</v>
      </c>
      <c r="K909" s="244"/>
      <c r="L909" s="99"/>
    </row>
    <row r="910" spans="1:15" ht="15" x14ac:dyDescent="0.25">
      <c r="A910" s="379"/>
      <c r="B910" s="278"/>
      <c r="C910" s="243"/>
      <c r="D910" s="243"/>
      <c r="E910" s="212">
        <v>2020</v>
      </c>
      <c r="F910" s="156">
        <f t="shared" si="155"/>
        <v>750.7</v>
      </c>
      <c r="G910" s="7"/>
      <c r="H910" s="7"/>
      <c r="I910" s="7">
        <v>685</v>
      </c>
      <c r="J910" s="7">
        <v>65.7</v>
      </c>
      <c r="K910" s="244"/>
    </row>
    <row r="911" spans="1:15" ht="15" x14ac:dyDescent="0.25">
      <c r="A911" s="379"/>
      <c r="B911" s="278"/>
      <c r="C911" s="243"/>
      <c r="D911" s="243"/>
      <c r="E911" s="224">
        <v>2021</v>
      </c>
      <c r="F911" s="156">
        <f t="shared" ref="F911:F915" si="156">SUM(G911:J911)</f>
        <v>413.7</v>
      </c>
      <c r="G911" s="7"/>
      <c r="H911" s="7"/>
      <c r="I911" s="7">
        <v>348</v>
      </c>
      <c r="J911" s="7">
        <v>65.7</v>
      </c>
      <c r="K911" s="244"/>
    </row>
    <row r="912" spans="1:15" ht="15" x14ac:dyDescent="0.25">
      <c r="A912" s="379"/>
      <c r="B912" s="278"/>
      <c r="C912" s="243"/>
      <c r="D912" s="243"/>
      <c r="E912" s="224">
        <v>2022</v>
      </c>
      <c r="F912" s="156">
        <f t="shared" si="156"/>
        <v>465.7</v>
      </c>
      <c r="G912" s="7"/>
      <c r="H912" s="7"/>
      <c r="I912" s="7">
        <v>400</v>
      </c>
      <c r="J912" s="7">
        <v>65.7</v>
      </c>
      <c r="K912" s="244"/>
      <c r="L912" s="99" t="s">
        <v>379</v>
      </c>
      <c r="M912" s="125" t="s">
        <v>376</v>
      </c>
      <c r="N912" s="138" t="s">
        <v>377</v>
      </c>
      <c r="O912" s="137" t="s">
        <v>378</v>
      </c>
    </row>
    <row r="913" spans="1:14" ht="15" x14ac:dyDescent="0.25">
      <c r="A913" s="379"/>
      <c r="B913" s="278"/>
      <c r="C913" s="243"/>
      <c r="D913" s="243"/>
      <c r="E913" s="224">
        <v>2023</v>
      </c>
      <c r="F913" s="156">
        <f t="shared" si="156"/>
        <v>481.7</v>
      </c>
      <c r="G913" s="7"/>
      <c r="H913" s="7"/>
      <c r="I913" s="7">
        <v>416</v>
      </c>
      <c r="J913" s="7">
        <v>65.7</v>
      </c>
      <c r="K913" s="244"/>
      <c r="L913" s="99"/>
    </row>
    <row r="914" spans="1:14" ht="15" x14ac:dyDescent="0.25">
      <c r="A914" s="379"/>
      <c r="B914" s="278"/>
      <c r="C914" s="243"/>
      <c r="D914" s="243"/>
      <c r="E914" s="224">
        <v>2024</v>
      </c>
      <c r="F914" s="156">
        <f t="shared" si="156"/>
        <v>498.7</v>
      </c>
      <c r="G914" s="7"/>
      <c r="H914" s="7"/>
      <c r="I914" s="7">
        <v>433</v>
      </c>
      <c r="J914" s="7">
        <v>65.7</v>
      </c>
      <c r="K914" s="244"/>
      <c r="L914" s="99"/>
    </row>
    <row r="915" spans="1:14" ht="15" x14ac:dyDescent="0.25">
      <c r="A915" s="379"/>
      <c r="B915" s="278"/>
      <c r="C915" s="243"/>
      <c r="D915" s="243"/>
      <c r="E915" s="224">
        <v>2025</v>
      </c>
      <c r="F915" s="156">
        <f t="shared" si="156"/>
        <v>515.70000000000005</v>
      </c>
      <c r="G915" s="7"/>
      <c r="H915" s="7"/>
      <c r="I915" s="7">
        <v>450</v>
      </c>
      <c r="J915" s="7">
        <v>65.7</v>
      </c>
      <c r="K915" s="244"/>
    </row>
    <row r="916" spans="1:14" ht="14.25" x14ac:dyDescent="0.2">
      <c r="A916" s="379"/>
      <c r="B916" s="278"/>
      <c r="C916" s="243"/>
      <c r="D916" s="243"/>
      <c r="E916" s="18" t="s">
        <v>18</v>
      </c>
      <c r="F916" s="140">
        <f>SUM(F905:F915)</f>
        <v>7908.6999999999989</v>
      </c>
      <c r="G916" s="140"/>
      <c r="H916" s="140">
        <f>SUM(H905:H910)</f>
        <v>0</v>
      </c>
      <c r="I916" s="140">
        <f>SUM(I905:I915)</f>
        <v>6399.5</v>
      </c>
      <c r="J916" s="140">
        <f>SUM(J905:J915)</f>
        <v>1509.2000000000003</v>
      </c>
      <c r="K916" s="244"/>
    </row>
    <row r="917" spans="1:14" ht="15" x14ac:dyDescent="0.25">
      <c r="A917" s="361" t="s">
        <v>106</v>
      </c>
      <c r="B917" s="240" t="s">
        <v>107</v>
      </c>
      <c r="C917" s="242" t="s">
        <v>408</v>
      </c>
      <c r="D917" s="277" t="s">
        <v>209</v>
      </c>
      <c r="E917" s="212">
        <v>2015</v>
      </c>
      <c r="F917" s="156">
        <f t="shared" ref="F917:F922" si="157">SUM(G917:J917)</f>
        <v>2265.3000000000002</v>
      </c>
      <c r="G917" s="7"/>
      <c r="H917" s="7"/>
      <c r="I917" s="7">
        <v>2265.3000000000002</v>
      </c>
      <c r="J917" s="7"/>
      <c r="K917" s="244"/>
    </row>
    <row r="918" spans="1:14" ht="15" x14ac:dyDescent="0.25">
      <c r="A918" s="379"/>
      <c r="B918" s="241"/>
      <c r="C918" s="243"/>
      <c r="D918" s="243"/>
      <c r="E918" s="212">
        <v>2016</v>
      </c>
      <c r="F918" s="156">
        <f t="shared" si="157"/>
        <v>2244.6999999999998</v>
      </c>
      <c r="G918" s="7"/>
      <c r="H918" s="7"/>
      <c r="I918" s="7">
        <f>2295.7-51</f>
        <v>2244.6999999999998</v>
      </c>
      <c r="J918" s="7"/>
      <c r="K918" s="244"/>
    </row>
    <row r="919" spans="1:14" ht="15" x14ac:dyDescent="0.25">
      <c r="A919" s="379"/>
      <c r="B919" s="241"/>
      <c r="C919" s="243"/>
      <c r="D919" s="243"/>
      <c r="E919" s="212">
        <v>2017</v>
      </c>
      <c r="F919" s="156">
        <f t="shared" si="157"/>
        <v>2244.8000000000002</v>
      </c>
      <c r="G919" s="7"/>
      <c r="H919" s="7"/>
      <c r="I919" s="7">
        <v>2244.8000000000002</v>
      </c>
      <c r="J919" s="7"/>
      <c r="K919" s="244"/>
      <c r="L919" s="99"/>
      <c r="N919" s="106"/>
    </row>
    <row r="920" spans="1:14" ht="15" x14ac:dyDescent="0.25">
      <c r="A920" s="379"/>
      <c r="B920" s="241"/>
      <c r="C920" s="243"/>
      <c r="D920" s="243"/>
      <c r="E920" s="212">
        <v>2018</v>
      </c>
      <c r="F920" s="156">
        <f t="shared" si="157"/>
        <v>3991.5</v>
      </c>
      <c r="G920" s="7"/>
      <c r="H920" s="7"/>
      <c r="I920" s="7">
        <f>3340.4+651.1</f>
        <v>3991.5</v>
      </c>
      <c r="J920" s="7"/>
      <c r="K920" s="244"/>
      <c r="L920" s="99"/>
    </row>
    <row r="921" spans="1:14" ht="15" x14ac:dyDescent="0.25">
      <c r="A921" s="379"/>
      <c r="B921" s="241"/>
      <c r="C921" s="243"/>
      <c r="D921" s="243"/>
      <c r="E921" s="212">
        <v>2019</v>
      </c>
      <c r="F921" s="156">
        <f t="shared" si="157"/>
        <v>4409.5999999999995</v>
      </c>
      <c r="G921" s="7"/>
      <c r="H921" s="7"/>
      <c r="I921" s="7">
        <f>3954.2+455.4</f>
        <v>4409.5999999999995</v>
      </c>
      <c r="J921" s="7"/>
      <c r="K921" s="244"/>
      <c r="L921" s="99"/>
    </row>
    <row r="922" spans="1:14" ht="15" x14ac:dyDescent="0.25">
      <c r="A922" s="379"/>
      <c r="B922" s="241"/>
      <c r="C922" s="243"/>
      <c r="D922" s="243"/>
      <c r="E922" s="212">
        <v>2020</v>
      </c>
      <c r="F922" s="156">
        <f t="shared" si="157"/>
        <v>2170.4</v>
      </c>
      <c r="G922" s="7"/>
      <c r="H922" s="7"/>
      <c r="I922" s="7">
        <v>2170.4</v>
      </c>
      <c r="J922" s="7"/>
      <c r="K922" s="244"/>
    </row>
    <row r="923" spans="1:14" ht="15" x14ac:dyDescent="0.25">
      <c r="A923" s="379"/>
      <c r="B923" s="241"/>
      <c r="C923" s="243"/>
      <c r="D923" s="243"/>
      <c r="E923" s="224">
        <v>2021</v>
      </c>
      <c r="F923" s="156">
        <f t="shared" ref="F923:F927" si="158">SUM(G923:J923)</f>
        <v>1215.4000000000001</v>
      </c>
      <c r="G923" s="7"/>
      <c r="H923" s="7"/>
      <c r="I923" s="7">
        <v>1215.4000000000001</v>
      </c>
      <c r="J923" s="7"/>
      <c r="K923" s="244"/>
    </row>
    <row r="924" spans="1:14" ht="15" x14ac:dyDescent="0.25">
      <c r="A924" s="379"/>
      <c r="B924" s="241"/>
      <c r="C924" s="243"/>
      <c r="D924" s="243"/>
      <c r="E924" s="224">
        <v>2022</v>
      </c>
      <c r="F924" s="156">
        <f t="shared" si="158"/>
        <v>1370</v>
      </c>
      <c r="G924" s="7"/>
      <c r="H924" s="7"/>
      <c r="I924" s="7">
        <v>1370</v>
      </c>
      <c r="J924" s="7"/>
      <c r="K924" s="244"/>
      <c r="L924" s="99"/>
      <c r="N924" s="106"/>
    </row>
    <row r="925" spans="1:14" ht="15" x14ac:dyDescent="0.25">
      <c r="A925" s="379"/>
      <c r="B925" s="241"/>
      <c r="C925" s="243"/>
      <c r="D925" s="243"/>
      <c r="E925" s="224">
        <v>2023</v>
      </c>
      <c r="F925" s="156">
        <f t="shared" si="158"/>
        <v>1424.8</v>
      </c>
      <c r="G925" s="7"/>
      <c r="H925" s="7"/>
      <c r="I925" s="7">
        <v>1424.8</v>
      </c>
      <c r="J925" s="7"/>
      <c r="K925" s="244"/>
      <c r="L925" s="99"/>
    </row>
    <row r="926" spans="1:14" ht="15" x14ac:dyDescent="0.25">
      <c r="A926" s="379"/>
      <c r="B926" s="241"/>
      <c r="C926" s="243"/>
      <c r="D926" s="243"/>
      <c r="E926" s="224">
        <v>2024</v>
      </c>
      <c r="F926" s="156">
        <f t="shared" si="158"/>
        <v>1481.8</v>
      </c>
      <c r="G926" s="7"/>
      <c r="H926" s="7"/>
      <c r="I926" s="7">
        <v>1481.8</v>
      </c>
      <c r="J926" s="7"/>
      <c r="K926" s="244"/>
      <c r="L926" s="99"/>
    </row>
    <row r="927" spans="1:14" ht="15" x14ac:dyDescent="0.25">
      <c r="A927" s="379"/>
      <c r="B927" s="241"/>
      <c r="C927" s="243"/>
      <c r="D927" s="243"/>
      <c r="E927" s="224">
        <v>2025</v>
      </c>
      <c r="F927" s="156">
        <f t="shared" si="158"/>
        <v>1541</v>
      </c>
      <c r="G927" s="7"/>
      <c r="H927" s="7"/>
      <c r="I927" s="7">
        <v>1541</v>
      </c>
      <c r="J927" s="7"/>
      <c r="K927" s="244"/>
    </row>
    <row r="928" spans="1:14" ht="15" x14ac:dyDescent="0.2">
      <c r="A928" s="379"/>
      <c r="B928" s="241"/>
      <c r="C928" s="243"/>
      <c r="D928" s="243"/>
      <c r="E928" s="18" t="s">
        <v>18</v>
      </c>
      <c r="F928" s="140">
        <f>SUM(F917:F927)</f>
        <v>24359.3</v>
      </c>
      <c r="G928" s="140"/>
      <c r="H928" s="140">
        <f>SUM(H917:H922)</f>
        <v>0</v>
      </c>
      <c r="I928" s="140">
        <f>SUM(I917:I927)</f>
        <v>24359.3</v>
      </c>
      <c r="J928" s="156">
        <f>SUM(J917:J922)</f>
        <v>0</v>
      </c>
      <c r="K928" s="237"/>
    </row>
    <row r="929" spans="1:14" ht="25.5" x14ac:dyDescent="0.2">
      <c r="A929" s="404" t="s">
        <v>196</v>
      </c>
      <c r="B929" s="405"/>
      <c r="C929" s="405"/>
      <c r="D929" s="405"/>
      <c r="E929" s="54" t="s">
        <v>61</v>
      </c>
      <c r="F929" s="140">
        <f>F928+F916+F904+F892</f>
        <v>96015.900000000009</v>
      </c>
      <c r="G929" s="140"/>
      <c r="H929" s="140">
        <f>H928+H916+H904+H892</f>
        <v>0</v>
      </c>
      <c r="I929" s="140">
        <f>I928+I916+I904+I892</f>
        <v>86968.9</v>
      </c>
      <c r="J929" s="140">
        <f>J928+J916+J904+J892</f>
        <v>9046.9999999999982</v>
      </c>
      <c r="K929" s="82"/>
      <c r="L929" s="126"/>
      <c r="M929" s="99"/>
      <c r="N929" s="99"/>
    </row>
    <row r="930" spans="1:14" ht="15.75" customHeight="1" x14ac:dyDescent="0.2">
      <c r="A930" s="373" t="s">
        <v>223</v>
      </c>
      <c r="B930" s="374"/>
      <c r="C930" s="374"/>
      <c r="D930" s="374"/>
      <c r="E930" s="374"/>
      <c r="F930" s="374"/>
      <c r="G930" s="374"/>
      <c r="H930" s="374"/>
      <c r="I930" s="374"/>
      <c r="J930" s="374"/>
      <c r="K930" s="374"/>
    </row>
    <row r="931" spans="1:14" ht="15" x14ac:dyDescent="0.25">
      <c r="A931" s="361" t="s">
        <v>108</v>
      </c>
      <c r="B931" s="240" t="s">
        <v>109</v>
      </c>
      <c r="C931" s="242" t="s">
        <v>408</v>
      </c>
      <c r="D931" s="277" t="s">
        <v>209</v>
      </c>
      <c r="E931" s="212">
        <v>2015</v>
      </c>
      <c r="F931" s="156">
        <f t="shared" ref="F931:F936" si="159">SUM(G931:I931)</f>
        <v>2070.1</v>
      </c>
      <c r="G931" s="7"/>
      <c r="H931" s="7"/>
      <c r="I931" s="7">
        <v>2070.1</v>
      </c>
      <c r="J931" s="14"/>
      <c r="K931" s="277" t="s">
        <v>1</v>
      </c>
    </row>
    <row r="932" spans="1:14" ht="15" x14ac:dyDescent="0.25">
      <c r="A932" s="379"/>
      <c r="B932" s="241"/>
      <c r="C932" s="243"/>
      <c r="D932" s="243"/>
      <c r="E932" s="212">
        <v>2016</v>
      </c>
      <c r="F932" s="156">
        <f t="shared" si="159"/>
        <v>2173.6</v>
      </c>
      <c r="G932" s="7"/>
      <c r="H932" s="7"/>
      <c r="I932" s="7">
        <v>2173.6</v>
      </c>
      <c r="J932" s="14"/>
      <c r="K932" s="277"/>
    </row>
    <row r="933" spans="1:14" ht="15" x14ac:dyDescent="0.25">
      <c r="A933" s="379"/>
      <c r="B933" s="241"/>
      <c r="C933" s="243"/>
      <c r="D933" s="243"/>
      <c r="E933" s="212">
        <v>2017</v>
      </c>
      <c r="F933" s="156">
        <f t="shared" si="159"/>
        <v>2282.3000000000002</v>
      </c>
      <c r="G933" s="7"/>
      <c r="H933" s="7"/>
      <c r="I933" s="7">
        <v>2282.3000000000002</v>
      </c>
      <c r="J933" s="14"/>
      <c r="K933" s="277"/>
      <c r="L933" s="99"/>
    </row>
    <row r="934" spans="1:14" ht="15" x14ac:dyDescent="0.25">
      <c r="A934" s="379"/>
      <c r="B934" s="241"/>
      <c r="C934" s="243"/>
      <c r="D934" s="243"/>
      <c r="E934" s="212">
        <v>2018</v>
      </c>
      <c r="F934" s="156">
        <f t="shared" si="159"/>
        <v>3474</v>
      </c>
      <c r="G934" s="7"/>
      <c r="H934" s="7"/>
      <c r="I934" s="7">
        <f>3145.8+328.2</f>
        <v>3474</v>
      </c>
      <c r="J934" s="14"/>
      <c r="K934" s="277"/>
      <c r="L934" s="99"/>
    </row>
    <row r="935" spans="1:14" ht="15" x14ac:dyDescent="0.25">
      <c r="A935" s="379"/>
      <c r="B935" s="241"/>
      <c r="C935" s="243"/>
      <c r="D935" s="243"/>
      <c r="E935" s="212">
        <v>2019</v>
      </c>
      <c r="F935" s="156">
        <f t="shared" si="159"/>
        <v>3176.3</v>
      </c>
      <c r="G935" s="7"/>
      <c r="H935" s="7"/>
      <c r="I935" s="7">
        <f>3145.8+30.5</f>
        <v>3176.3</v>
      </c>
      <c r="J935" s="14"/>
      <c r="K935" s="277"/>
      <c r="L935" s="99"/>
    </row>
    <row r="936" spans="1:14" ht="15" x14ac:dyDescent="0.25">
      <c r="A936" s="379"/>
      <c r="B936" s="241"/>
      <c r="C936" s="243"/>
      <c r="D936" s="243"/>
      <c r="E936" s="212">
        <v>2020</v>
      </c>
      <c r="F936" s="156">
        <f t="shared" si="159"/>
        <v>1600</v>
      </c>
      <c r="G936" s="7"/>
      <c r="H936" s="7"/>
      <c r="I936" s="7">
        <v>1600</v>
      </c>
      <c r="J936" s="14"/>
      <c r="K936" s="277"/>
    </row>
    <row r="937" spans="1:14" ht="15" x14ac:dyDescent="0.25">
      <c r="A937" s="379"/>
      <c r="B937" s="241"/>
      <c r="C937" s="243"/>
      <c r="D937" s="243"/>
      <c r="E937" s="224">
        <v>2021</v>
      </c>
      <c r="F937" s="156">
        <f t="shared" ref="F937:F941" si="160">SUM(G937:I937)</f>
        <v>1000</v>
      </c>
      <c r="G937" s="7"/>
      <c r="H937" s="7"/>
      <c r="I937" s="7">
        <v>1000</v>
      </c>
      <c r="J937" s="14"/>
      <c r="K937" s="277"/>
    </row>
    <row r="938" spans="1:14" ht="15" x14ac:dyDescent="0.25">
      <c r="A938" s="379"/>
      <c r="B938" s="241"/>
      <c r="C938" s="243"/>
      <c r="D938" s="243"/>
      <c r="E938" s="224">
        <v>2022</v>
      </c>
      <c r="F938" s="156">
        <f t="shared" si="160"/>
        <v>1120</v>
      </c>
      <c r="G938" s="7"/>
      <c r="H938" s="7"/>
      <c r="I938" s="7">
        <v>1120</v>
      </c>
      <c r="J938" s="14"/>
      <c r="K938" s="277"/>
      <c r="L938" s="99"/>
    </row>
    <row r="939" spans="1:14" ht="15" x14ac:dyDescent="0.25">
      <c r="A939" s="379"/>
      <c r="B939" s="241"/>
      <c r="C939" s="243"/>
      <c r="D939" s="243"/>
      <c r="E939" s="224">
        <v>2023</v>
      </c>
      <c r="F939" s="156">
        <f t="shared" si="160"/>
        <v>1164.8</v>
      </c>
      <c r="G939" s="7"/>
      <c r="H939" s="7"/>
      <c r="I939" s="7">
        <v>1164.8</v>
      </c>
      <c r="J939" s="14"/>
      <c r="K939" s="277"/>
      <c r="L939" s="99"/>
    </row>
    <row r="940" spans="1:14" ht="15" x14ac:dyDescent="0.25">
      <c r="A940" s="379"/>
      <c r="B940" s="241"/>
      <c r="C940" s="243"/>
      <c r="D940" s="243"/>
      <c r="E940" s="224">
        <v>2024</v>
      </c>
      <c r="F940" s="156">
        <f t="shared" si="160"/>
        <v>1211.4000000000001</v>
      </c>
      <c r="G940" s="7"/>
      <c r="H940" s="7"/>
      <c r="I940" s="7">
        <v>1211.4000000000001</v>
      </c>
      <c r="J940" s="14"/>
      <c r="K940" s="277"/>
      <c r="L940" s="99"/>
    </row>
    <row r="941" spans="1:14" ht="15" x14ac:dyDescent="0.25">
      <c r="A941" s="379"/>
      <c r="B941" s="241"/>
      <c r="C941" s="243"/>
      <c r="D941" s="243"/>
      <c r="E941" s="224">
        <v>2025</v>
      </c>
      <c r="F941" s="156">
        <f t="shared" si="160"/>
        <v>1259.8</v>
      </c>
      <c r="G941" s="7"/>
      <c r="H941" s="7"/>
      <c r="I941" s="7">
        <v>1259.8</v>
      </c>
      <c r="J941" s="14"/>
      <c r="K941" s="277"/>
    </row>
    <row r="942" spans="1:14" ht="14.25" x14ac:dyDescent="0.2">
      <c r="A942" s="379"/>
      <c r="B942" s="241"/>
      <c r="C942" s="243"/>
      <c r="D942" s="243"/>
      <c r="E942" s="18" t="s">
        <v>18</v>
      </c>
      <c r="F942" s="140">
        <f>SUM(F931:F941)</f>
        <v>20532.3</v>
      </c>
      <c r="G942" s="8"/>
      <c r="H942" s="8"/>
      <c r="I942" s="8">
        <f>SUM(I931:I941)</f>
        <v>20532.3</v>
      </c>
      <c r="J942" s="13"/>
      <c r="K942" s="277"/>
    </row>
    <row r="943" spans="1:14" ht="25.5" x14ac:dyDescent="0.2">
      <c r="A943" s="381" t="s">
        <v>199</v>
      </c>
      <c r="B943" s="344"/>
      <c r="C943" s="344"/>
      <c r="D943" s="344"/>
      <c r="E943" s="54" t="s">
        <v>61</v>
      </c>
      <c r="F943" s="140">
        <f>F942</f>
        <v>20532.3</v>
      </c>
      <c r="G943" s="140"/>
      <c r="H943" s="140">
        <f>H942</f>
        <v>0</v>
      </c>
      <c r="I943" s="140">
        <f>I942</f>
        <v>20532.3</v>
      </c>
      <c r="J943" s="16"/>
      <c r="K943" s="82"/>
      <c r="L943" s="118"/>
      <c r="M943" s="99"/>
    </row>
    <row r="944" spans="1:14" ht="47.25" x14ac:dyDescent="0.25">
      <c r="A944" s="389" t="s">
        <v>206</v>
      </c>
      <c r="B944" s="390"/>
      <c r="C944" s="390"/>
      <c r="D944" s="391"/>
      <c r="E944" s="189" t="s">
        <v>61</v>
      </c>
      <c r="F944" s="189" t="s">
        <v>18</v>
      </c>
      <c r="G944" s="190" t="s">
        <v>10</v>
      </c>
      <c r="H944" s="191" t="s">
        <v>11</v>
      </c>
      <c r="I944" s="191" t="s">
        <v>12</v>
      </c>
      <c r="J944" s="191" t="s">
        <v>13</v>
      </c>
      <c r="K944" s="192"/>
      <c r="L944" s="126"/>
      <c r="M944" s="127"/>
      <c r="N944" s="127"/>
    </row>
    <row r="945" spans="1:35" ht="16.5" thickBot="1" x14ac:dyDescent="0.3">
      <c r="A945" s="392"/>
      <c r="B945" s="393"/>
      <c r="C945" s="393"/>
      <c r="D945" s="394"/>
      <c r="E945" s="86"/>
      <c r="F945" s="140">
        <f>F943+F929</f>
        <v>116548.20000000001</v>
      </c>
      <c r="G945" s="140"/>
      <c r="H945" s="140">
        <f>H943+H929</f>
        <v>0</v>
      </c>
      <c r="I945" s="140">
        <f>I943+I929</f>
        <v>107501.2</v>
      </c>
      <c r="J945" s="140">
        <f>J943+J929</f>
        <v>9046.9999999999982</v>
      </c>
      <c r="K945" s="51"/>
    </row>
    <row r="946" spans="1:35" ht="18" x14ac:dyDescent="0.2">
      <c r="A946" s="415" t="s">
        <v>306</v>
      </c>
      <c r="B946" s="380"/>
      <c r="C946" s="380"/>
      <c r="D946" s="380"/>
      <c r="E946" s="380"/>
      <c r="F946" s="380"/>
      <c r="G946" s="380"/>
      <c r="H946" s="380"/>
      <c r="I946" s="380"/>
      <c r="J946" s="380"/>
      <c r="K946" s="38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38"/>
      <c r="X946" s="38"/>
      <c r="Y946" s="38"/>
      <c r="Z946" s="38"/>
      <c r="AA946" s="38"/>
      <c r="AB946" s="38"/>
      <c r="AC946" s="38"/>
      <c r="AD946" s="38"/>
      <c r="AE946" s="38"/>
      <c r="AF946" s="38"/>
      <c r="AG946" s="38"/>
      <c r="AH946" s="38"/>
      <c r="AI946" s="39"/>
    </row>
    <row r="947" spans="1:35" ht="30" customHeight="1" thickBot="1" x14ac:dyDescent="0.25">
      <c r="A947" s="373" t="s">
        <v>307</v>
      </c>
      <c r="B947" s="374"/>
      <c r="C947" s="374"/>
      <c r="D947" s="374"/>
      <c r="E947" s="321"/>
      <c r="F947" s="321"/>
      <c r="G947" s="321"/>
      <c r="H947" s="321"/>
      <c r="I947" s="321"/>
      <c r="J947" s="321"/>
      <c r="K947" s="321"/>
      <c r="L947" s="57"/>
      <c r="M947" s="57"/>
      <c r="N947" s="57"/>
      <c r="O947" s="57"/>
      <c r="P947" s="57"/>
      <c r="Q947" s="57"/>
      <c r="R947" s="57"/>
      <c r="S947" s="57"/>
      <c r="T947" s="57"/>
      <c r="U947" s="57"/>
      <c r="V947" s="57"/>
      <c r="W947" s="83"/>
      <c r="X947" s="83"/>
      <c r="Y947" s="83"/>
      <c r="Z947" s="83"/>
      <c r="AA947" s="83"/>
      <c r="AB947" s="83"/>
      <c r="AC947" s="83"/>
      <c r="AD947" s="83"/>
      <c r="AE947" s="83"/>
      <c r="AF947" s="83"/>
      <c r="AG947" s="83"/>
      <c r="AH947" s="83"/>
      <c r="AI947" s="84"/>
    </row>
    <row r="948" spans="1:35" ht="18" customHeight="1" x14ac:dyDescent="0.25">
      <c r="A948" s="364" t="s">
        <v>101</v>
      </c>
      <c r="B948" s="376" t="s">
        <v>308</v>
      </c>
      <c r="C948" s="242" t="s">
        <v>409</v>
      </c>
      <c r="D948" s="236" t="s">
        <v>209</v>
      </c>
      <c r="E948" s="212">
        <v>2017</v>
      </c>
      <c r="F948" s="142">
        <f t="shared" ref="F948:F951" si="161">SUM(G948:J948)</f>
        <v>28240.7</v>
      </c>
      <c r="G948" s="7"/>
      <c r="H948" s="7"/>
      <c r="I948" s="7">
        <f>25971.2+2269.5</f>
        <v>28240.7</v>
      </c>
      <c r="J948" s="7">
        <v>0</v>
      </c>
      <c r="K948" s="406" t="s">
        <v>384</v>
      </c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</row>
    <row r="949" spans="1:35" ht="18" customHeight="1" x14ac:dyDescent="0.25">
      <c r="A949" s="365"/>
      <c r="B949" s="377"/>
      <c r="C949" s="243"/>
      <c r="D949" s="238"/>
      <c r="E949" s="212">
        <v>2018</v>
      </c>
      <c r="F949" s="156">
        <f t="shared" si="161"/>
        <v>31523.7</v>
      </c>
      <c r="G949" s="7"/>
      <c r="H949" s="7"/>
      <c r="I949" s="7">
        <f>28601+2922.7</f>
        <v>31523.7</v>
      </c>
      <c r="J949" s="7">
        <v>0</v>
      </c>
      <c r="K949" s="522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</row>
    <row r="950" spans="1:35" ht="18" customHeight="1" x14ac:dyDescent="0.25">
      <c r="A950" s="365"/>
      <c r="B950" s="377"/>
      <c r="C950" s="243"/>
      <c r="D950" s="238"/>
      <c r="E950" s="212">
        <v>2019</v>
      </c>
      <c r="F950" s="156">
        <f t="shared" si="161"/>
        <v>37621.599999999999</v>
      </c>
      <c r="G950" s="7"/>
      <c r="H950" s="7"/>
      <c r="I950" s="7">
        <f>34762.5+2859.1</f>
        <v>37621.599999999999</v>
      </c>
      <c r="J950" s="7">
        <v>0</v>
      </c>
      <c r="K950" s="522"/>
      <c r="L950" s="99"/>
    </row>
    <row r="951" spans="1:35" ht="18" customHeight="1" x14ac:dyDescent="0.25">
      <c r="A951" s="365"/>
      <c r="B951" s="377"/>
      <c r="C951" s="243"/>
      <c r="D951" s="238"/>
      <c r="E951" s="212">
        <v>2020</v>
      </c>
      <c r="F951" s="156">
        <f t="shared" si="161"/>
        <v>33512.5</v>
      </c>
      <c r="G951" s="7"/>
      <c r="H951" s="7"/>
      <c r="I951" s="7">
        <v>33512.5</v>
      </c>
      <c r="J951" s="7">
        <v>0</v>
      </c>
      <c r="K951" s="522"/>
      <c r="L951" s="99"/>
    </row>
    <row r="952" spans="1:35" ht="18" customHeight="1" x14ac:dyDescent="0.25">
      <c r="A952" s="375"/>
      <c r="B952" s="378"/>
      <c r="C952" s="317"/>
      <c r="D952" s="238"/>
      <c r="E952" s="224">
        <v>2021</v>
      </c>
      <c r="F952" s="142">
        <f t="shared" ref="F952:F955" si="162">SUM(G952:J952)</f>
        <v>33512.5</v>
      </c>
      <c r="G952" s="7"/>
      <c r="H952" s="7"/>
      <c r="I952" s="7">
        <v>33512.5</v>
      </c>
      <c r="J952" s="7">
        <v>0</v>
      </c>
      <c r="K952" s="522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</row>
    <row r="953" spans="1:35" ht="18" customHeight="1" x14ac:dyDescent="0.25">
      <c r="A953" s="375"/>
      <c r="B953" s="378"/>
      <c r="C953" s="317"/>
      <c r="D953" s="238"/>
      <c r="E953" s="224">
        <v>2022</v>
      </c>
      <c r="F953" s="156">
        <f t="shared" si="162"/>
        <v>34853</v>
      </c>
      <c r="G953" s="7"/>
      <c r="H953" s="7"/>
      <c r="I953" s="7">
        <v>34853</v>
      </c>
      <c r="J953" s="7">
        <v>0</v>
      </c>
      <c r="K953" s="522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</row>
    <row r="954" spans="1:35" ht="18" customHeight="1" x14ac:dyDescent="0.25">
      <c r="A954" s="375"/>
      <c r="B954" s="378"/>
      <c r="C954" s="317"/>
      <c r="D954" s="238"/>
      <c r="E954" s="224">
        <v>2023</v>
      </c>
      <c r="F954" s="156">
        <f t="shared" si="162"/>
        <v>36247</v>
      </c>
      <c r="G954" s="7"/>
      <c r="H954" s="7"/>
      <c r="I954" s="7">
        <v>36247</v>
      </c>
      <c r="J954" s="7">
        <v>0</v>
      </c>
      <c r="K954" s="522"/>
      <c r="L954" s="99"/>
    </row>
    <row r="955" spans="1:35" ht="18" customHeight="1" x14ac:dyDescent="0.25">
      <c r="A955" s="375"/>
      <c r="B955" s="378"/>
      <c r="C955" s="317"/>
      <c r="D955" s="238"/>
      <c r="E955" s="224">
        <v>2024</v>
      </c>
      <c r="F955" s="156">
        <f t="shared" si="162"/>
        <v>37697</v>
      </c>
      <c r="G955" s="7"/>
      <c r="H955" s="7"/>
      <c r="I955" s="7">
        <v>37697</v>
      </c>
      <c r="J955" s="7">
        <v>0</v>
      </c>
      <c r="K955" s="522"/>
      <c r="L955" s="99"/>
    </row>
    <row r="956" spans="1:35" ht="18" customHeight="1" x14ac:dyDescent="0.25">
      <c r="A956" s="375"/>
      <c r="B956" s="378"/>
      <c r="C956" s="317"/>
      <c r="D956" s="238"/>
      <c r="E956" s="224">
        <v>2025</v>
      </c>
      <c r="F956" s="156">
        <f t="shared" ref="F956" si="163">SUM(G956:J956)</f>
        <v>39205</v>
      </c>
      <c r="G956" s="7"/>
      <c r="H956" s="7"/>
      <c r="I956" s="7">
        <v>39205</v>
      </c>
      <c r="J956" s="7">
        <v>0</v>
      </c>
      <c r="K956" s="522"/>
      <c r="L956" s="99"/>
    </row>
    <row r="957" spans="1:35" ht="18" customHeight="1" x14ac:dyDescent="0.2">
      <c r="A957" s="375"/>
      <c r="B957" s="378"/>
      <c r="C957" s="317"/>
      <c r="D957" s="238"/>
      <c r="E957" s="18" t="s">
        <v>18</v>
      </c>
      <c r="F957" s="141">
        <f>SUM(F948:F956)</f>
        <v>312413</v>
      </c>
      <c r="G957" s="141"/>
      <c r="H957" s="141">
        <f>SUM(H948:H951)</f>
        <v>0</v>
      </c>
      <c r="I957" s="141">
        <f>SUM(I948:I956)</f>
        <v>312413</v>
      </c>
      <c r="J957" s="141">
        <f>SUM(J948:J951)</f>
        <v>0</v>
      </c>
      <c r="K957" s="523"/>
    </row>
    <row r="958" spans="1:35" ht="25.5" x14ac:dyDescent="0.2">
      <c r="A958" s="334" t="s">
        <v>196</v>
      </c>
      <c r="B958" s="335"/>
      <c r="C958" s="335"/>
      <c r="D958" s="335"/>
      <c r="E958" s="6" t="s">
        <v>299</v>
      </c>
      <c r="F958" s="158">
        <f>SUM(F948:F956)</f>
        <v>312413</v>
      </c>
      <c r="G958" s="147"/>
      <c r="H958" s="8">
        <f>SUM(H948:H951)</f>
        <v>0</v>
      </c>
      <c r="I958" s="8">
        <f>SUM(I948:I956)</f>
        <v>312413</v>
      </c>
      <c r="J958" s="147"/>
      <c r="K958" s="6"/>
    </row>
    <row r="959" spans="1:35" ht="18" customHeight="1" thickBot="1" x14ac:dyDescent="0.25">
      <c r="A959" s="373" t="s">
        <v>309</v>
      </c>
      <c r="B959" s="374"/>
      <c r="C959" s="374"/>
      <c r="D959" s="374"/>
      <c r="E959" s="321"/>
      <c r="F959" s="321"/>
      <c r="G959" s="321"/>
      <c r="H959" s="321"/>
      <c r="I959" s="321"/>
      <c r="J959" s="321"/>
      <c r="K959" s="321"/>
      <c r="L959" s="57"/>
      <c r="M959" s="57"/>
      <c r="N959" s="57"/>
      <c r="O959" s="57"/>
      <c r="P959" s="57"/>
      <c r="Q959" s="57"/>
      <c r="R959" s="57"/>
      <c r="S959" s="57"/>
      <c r="T959" s="57"/>
      <c r="U959" s="57"/>
      <c r="V959" s="57"/>
      <c r="W959" s="83"/>
      <c r="X959" s="83"/>
      <c r="Y959" s="83"/>
      <c r="Z959" s="83"/>
      <c r="AA959" s="83"/>
      <c r="AB959" s="83"/>
      <c r="AC959" s="83"/>
      <c r="AD959" s="83"/>
      <c r="AE959" s="83"/>
      <c r="AF959" s="83"/>
      <c r="AG959" s="83"/>
      <c r="AH959" s="83"/>
      <c r="AI959" s="84"/>
    </row>
    <row r="960" spans="1:35" ht="18" customHeight="1" x14ac:dyDescent="0.25">
      <c r="A960" s="364" t="s">
        <v>108</v>
      </c>
      <c r="B960" s="376" t="s">
        <v>313</v>
      </c>
      <c r="C960" s="242" t="s">
        <v>409</v>
      </c>
      <c r="D960" s="236" t="s">
        <v>209</v>
      </c>
      <c r="E960" s="212">
        <v>2017</v>
      </c>
      <c r="F960" s="142">
        <f t="shared" ref="F960:F963" si="164">SUM(G960:J960)</f>
        <v>21630.400000000001</v>
      </c>
      <c r="G960" s="7"/>
      <c r="H960" s="7"/>
      <c r="I960" s="7">
        <f>20880.4+750</f>
        <v>21630.400000000001</v>
      </c>
      <c r="J960" s="7">
        <v>0</v>
      </c>
      <c r="K960" s="406" t="s">
        <v>385</v>
      </c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</row>
    <row r="961" spans="1:35" ht="18" customHeight="1" x14ac:dyDescent="0.25">
      <c r="A961" s="365"/>
      <c r="B961" s="377"/>
      <c r="C961" s="243"/>
      <c r="D961" s="238"/>
      <c r="E961" s="212">
        <v>2018</v>
      </c>
      <c r="F961" s="156">
        <f t="shared" si="164"/>
        <v>23781.399999999998</v>
      </c>
      <c r="G961" s="7"/>
      <c r="H961" s="7"/>
      <c r="I961" s="7">
        <f>23157.1+624.3</f>
        <v>23781.399999999998</v>
      </c>
      <c r="J961" s="7">
        <v>0</v>
      </c>
      <c r="K961" s="407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</row>
    <row r="962" spans="1:35" ht="18" customHeight="1" x14ac:dyDescent="0.25">
      <c r="A962" s="365"/>
      <c r="B962" s="377"/>
      <c r="C962" s="243"/>
      <c r="D962" s="238"/>
      <c r="E962" s="212">
        <v>2019</v>
      </c>
      <c r="F962" s="156">
        <f t="shared" si="164"/>
        <v>29095</v>
      </c>
      <c r="G962" s="7"/>
      <c r="H962" s="7"/>
      <c r="I962" s="7">
        <f>27966+1129</f>
        <v>29095</v>
      </c>
      <c r="J962" s="7">
        <v>0</v>
      </c>
      <c r="K962" s="407"/>
      <c r="L962" s="99"/>
    </row>
    <row r="963" spans="1:35" ht="18" customHeight="1" x14ac:dyDescent="0.25">
      <c r="A963" s="365"/>
      <c r="B963" s="377"/>
      <c r="C963" s="243"/>
      <c r="D963" s="238"/>
      <c r="E963" s="212">
        <v>2020</v>
      </c>
      <c r="F963" s="156">
        <f t="shared" si="164"/>
        <v>24671.9</v>
      </c>
      <c r="G963" s="7"/>
      <c r="H963" s="7"/>
      <c r="I963" s="7">
        <v>24671.9</v>
      </c>
      <c r="J963" s="7">
        <v>0</v>
      </c>
      <c r="K963" s="407"/>
      <c r="L963" s="99"/>
    </row>
    <row r="964" spans="1:35" ht="18" customHeight="1" x14ac:dyDescent="0.25">
      <c r="A964" s="375"/>
      <c r="B964" s="378"/>
      <c r="C964" s="317"/>
      <c r="D964" s="238"/>
      <c r="E964" s="224">
        <v>2021</v>
      </c>
      <c r="F964" s="142">
        <f t="shared" ref="F964:F967" si="165">SUM(G964:J964)</f>
        <v>24131.599999999999</v>
      </c>
      <c r="G964" s="7"/>
      <c r="H964" s="7"/>
      <c r="I964" s="7">
        <v>24131.599999999999</v>
      </c>
      <c r="J964" s="7">
        <v>0</v>
      </c>
      <c r="K964" s="407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</row>
    <row r="965" spans="1:35" ht="18" customHeight="1" x14ac:dyDescent="0.25">
      <c r="A965" s="375"/>
      <c r="B965" s="378"/>
      <c r="C965" s="317"/>
      <c r="D965" s="238"/>
      <c r="E965" s="224">
        <v>2022</v>
      </c>
      <c r="F965" s="156">
        <f t="shared" si="165"/>
        <v>25096.9</v>
      </c>
      <c r="G965" s="7"/>
      <c r="H965" s="7"/>
      <c r="I965" s="7">
        <v>25096.9</v>
      </c>
      <c r="J965" s="7">
        <v>0</v>
      </c>
      <c r="K965" s="407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</row>
    <row r="966" spans="1:35" ht="18" customHeight="1" x14ac:dyDescent="0.25">
      <c r="A966" s="375"/>
      <c r="B966" s="378"/>
      <c r="C966" s="317"/>
      <c r="D966" s="238"/>
      <c r="E966" s="224">
        <v>2023</v>
      </c>
      <c r="F966" s="156">
        <f t="shared" si="165"/>
        <v>26100</v>
      </c>
      <c r="G966" s="7"/>
      <c r="H966" s="7"/>
      <c r="I966" s="7">
        <v>26100</v>
      </c>
      <c r="J966" s="7">
        <v>0</v>
      </c>
      <c r="K966" s="407"/>
      <c r="L966" s="99"/>
    </row>
    <row r="967" spans="1:35" ht="18" customHeight="1" x14ac:dyDescent="0.25">
      <c r="A967" s="375"/>
      <c r="B967" s="378"/>
      <c r="C967" s="317"/>
      <c r="D967" s="238"/>
      <c r="E967" s="224">
        <v>2024</v>
      </c>
      <c r="F967" s="156">
        <f t="shared" si="165"/>
        <v>27144</v>
      </c>
      <c r="G967" s="7"/>
      <c r="H967" s="7"/>
      <c r="I967" s="7">
        <v>27144</v>
      </c>
      <c r="J967" s="7">
        <v>0</v>
      </c>
      <c r="K967" s="407"/>
      <c r="L967" s="99"/>
    </row>
    <row r="968" spans="1:35" ht="18" customHeight="1" x14ac:dyDescent="0.25">
      <c r="A968" s="375"/>
      <c r="B968" s="378"/>
      <c r="C968" s="317"/>
      <c r="D968" s="238"/>
      <c r="E968" s="224">
        <v>2025</v>
      </c>
      <c r="F968" s="156">
        <f t="shared" ref="F968" si="166">SUM(G968:J968)</f>
        <v>28230</v>
      </c>
      <c r="G968" s="7"/>
      <c r="H968" s="7"/>
      <c r="I968" s="7">
        <v>28230</v>
      </c>
      <c r="J968" s="7">
        <v>0</v>
      </c>
      <c r="K968" s="407"/>
      <c r="L968" s="99"/>
    </row>
    <row r="969" spans="1:35" ht="18" customHeight="1" x14ac:dyDescent="0.2">
      <c r="A969" s="375"/>
      <c r="B969" s="378"/>
      <c r="C969" s="317"/>
      <c r="D969" s="238"/>
      <c r="E969" s="18" t="s">
        <v>18</v>
      </c>
      <c r="F969" s="141">
        <f>SUM(F960:F968)</f>
        <v>229881.2</v>
      </c>
      <c r="G969" s="141"/>
      <c r="H969" s="141">
        <f>SUM(H960:H963)</f>
        <v>0</v>
      </c>
      <c r="I969" s="141">
        <f>SUM(I960:I968)</f>
        <v>229881.2</v>
      </c>
      <c r="J969" s="141">
        <f>SUM(J960:J963)</f>
        <v>0</v>
      </c>
      <c r="K969" s="408"/>
    </row>
    <row r="970" spans="1:35" ht="25.5" x14ac:dyDescent="0.2">
      <c r="A970" s="334" t="s">
        <v>199</v>
      </c>
      <c r="B970" s="335"/>
      <c r="C970" s="335"/>
      <c r="D970" s="335"/>
      <c r="E970" s="6" t="s">
        <v>299</v>
      </c>
      <c r="F970" s="158">
        <f>SUM(F960:F968)</f>
        <v>229881.2</v>
      </c>
      <c r="G970" s="147"/>
      <c r="H970" s="8">
        <f>SUM(H960:H963)</f>
        <v>0</v>
      </c>
      <c r="I970" s="8">
        <f>SUM(I960:I968)</f>
        <v>229881.2</v>
      </c>
      <c r="J970" s="147"/>
      <c r="K970" s="6"/>
    </row>
    <row r="971" spans="1:35" ht="30" customHeight="1" thickBot="1" x14ac:dyDescent="0.25">
      <c r="A971" s="373" t="s">
        <v>310</v>
      </c>
      <c r="B971" s="374"/>
      <c r="C971" s="374"/>
      <c r="D971" s="374"/>
      <c r="E971" s="321"/>
      <c r="F971" s="321"/>
      <c r="G971" s="321"/>
      <c r="H971" s="321"/>
      <c r="I971" s="321"/>
      <c r="J971" s="321"/>
      <c r="K971" s="321"/>
      <c r="L971" s="57"/>
      <c r="M971" s="57"/>
      <c r="N971" s="57"/>
      <c r="O971" s="57"/>
      <c r="P971" s="57"/>
      <c r="Q971" s="57"/>
      <c r="R971" s="57"/>
      <c r="S971" s="57"/>
      <c r="T971" s="57"/>
      <c r="U971" s="57"/>
      <c r="V971" s="57"/>
      <c r="W971" s="83"/>
      <c r="X971" s="83"/>
      <c r="Y971" s="83"/>
      <c r="Z971" s="83"/>
      <c r="AA971" s="83"/>
      <c r="AB971" s="83"/>
      <c r="AC971" s="83"/>
      <c r="AD971" s="83"/>
      <c r="AE971" s="83"/>
      <c r="AF971" s="83"/>
      <c r="AG971" s="83"/>
      <c r="AH971" s="83"/>
      <c r="AI971" s="84"/>
    </row>
    <row r="972" spans="1:35" ht="18" customHeight="1" x14ac:dyDescent="0.25">
      <c r="A972" s="364" t="s">
        <v>388</v>
      </c>
      <c r="B972" s="376" t="s">
        <v>311</v>
      </c>
      <c r="C972" s="242" t="s">
        <v>409</v>
      </c>
      <c r="D972" s="236" t="s">
        <v>209</v>
      </c>
      <c r="E972" s="212">
        <v>2017</v>
      </c>
      <c r="F972" s="142">
        <f t="shared" ref="F972:F975" si="167">SUM(G972:J972)</f>
        <v>10020.200000000001</v>
      </c>
      <c r="G972" s="7"/>
      <c r="H972" s="7"/>
      <c r="I972" s="7">
        <f>9704.7+315.5</f>
        <v>10020.200000000001</v>
      </c>
      <c r="J972" s="7">
        <v>0</v>
      </c>
      <c r="K972" s="406" t="s">
        <v>386</v>
      </c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</row>
    <row r="973" spans="1:35" ht="18" customHeight="1" x14ac:dyDescent="0.25">
      <c r="A973" s="365"/>
      <c r="B973" s="377"/>
      <c r="C973" s="243"/>
      <c r="D973" s="238"/>
      <c r="E973" s="212">
        <v>2018</v>
      </c>
      <c r="F973" s="156">
        <f t="shared" si="167"/>
        <v>10139.9</v>
      </c>
      <c r="G973" s="7"/>
      <c r="H973" s="7"/>
      <c r="I973" s="7">
        <f>10014.3+125.6</f>
        <v>10139.9</v>
      </c>
      <c r="J973" s="7">
        <v>0</v>
      </c>
      <c r="K973" s="407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</row>
    <row r="974" spans="1:35" ht="18" customHeight="1" x14ac:dyDescent="0.25">
      <c r="A974" s="365"/>
      <c r="B974" s="377"/>
      <c r="C974" s="243"/>
      <c r="D974" s="238"/>
      <c r="E974" s="212">
        <v>2019</v>
      </c>
      <c r="F974" s="156">
        <f t="shared" si="167"/>
        <v>11781.3</v>
      </c>
      <c r="G974" s="7"/>
      <c r="H974" s="7"/>
      <c r="I974" s="7">
        <f>11399.3+382</f>
        <v>11781.3</v>
      </c>
      <c r="J974" s="7">
        <v>0</v>
      </c>
      <c r="K974" s="407"/>
      <c r="L974" s="99"/>
    </row>
    <row r="975" spans="1:35" ht="18" customHeight="1" x14ac:dyDescent="0.25">
      <c r="A975" s="365"/>
      <c r="B975" s="377"/>
      <c r="C975" s="243"/>
      <c r="D975" s="238"/>
      <c r="E975" s="212">
        <v>2020</v>
      </c>
      <c r="F975" s="156">
        <f t="shared" si="167"/>
        <v>10602.8</v>
      </c>
      <c r="G975" s="7"/>
      <c r="H975" s="7"/>
      <c r="I975" s="7">
        <v>10602.8</v>
      </c>
      <c r="J975" s="7">
        <v>0</v>
      </c>
      <c r="K975" s="407"/>
      <c r="L975" s="99"/>
    </row>
    <row r="976" spans="1:35" ht="18" customHeight="1" x14ac:dyDescent="0.25">
      <c r="A976" s="375"/>
      <c r="B976" s="378"/>
      <c r="C976" s="317"/>
      <c r="D976" s="238"/>
      <c r="E976" s="224">
        <v>2021</v>
      </c>
      <c r="F976" s="142">
        <f t="shared" ref="F976:F979" si="168">SUM(G976:J976)</f>
        <v>10108</v>
      </c>
      <c r="G976" s="7"/>
      <c r="H976" s="7"/>
      <c r="I976" s="7">
        <v>10108</v>
      </c>
      <c r="J976" s="7">
        <v>0</v>
      </c>
      <c r="K976" s="407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</row>
    <row r="977" spans="1:22" ht="18" customHeight="1" x14ac:dyDescent="0.25">
      <c r="A977" s="375"/>
      <c r="B977" s="378"/>
      <c r="C977" s="317"/>
      <c r="D977" s="238"/>
      <c r="E977" s="224">
        <v>2022</v>
      </c>
      <c r="F977" s="156">
        <f t="shared" si="168"/>
        <v>10512.3</v>
      </c>
      <c r="G977" s="7"/>
      <c r="H977" s="7"/>
      <c r="I977" s="7">
        <v>10512.3</v>
      </c>
      <c r="J977" s="7">
        <v>0</v>
      </c>
      <c r="K977" s="407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</row>
    <row r="978" spans="1:22" ht="18" customHeight="1" x14ac:dyDescent="0.25">
      <c r="A978" s="375"/>
      <c r="B978" s="378"/>
      <c r="C978" s="317"/>
      <c r="D978" s="238"/>
      <c r="E978" s="224">
        <v>2023</v>
      </c>
      <c r="F978" s="156">
        <f t="shared" si="168"/>
        <v>10933</v>
      </c>
      <c r="G978" s="7"/>
      <c r="H978" s="7"/>
      <c r="I978" s="7">
        <v>10933</v>
      </c>
      <c r="J978" s="7">
        <v>0</v>
      </c>
      <c r="K978" s="407"/>
      <c r="L978" s="99"/>
    </row>
    <row r="979" spans="1:22" ht="18" customHeight="1" x14ac:dyDescent="0.25">
      <c r="A979" s="375"/>
      <c r="B979" s="378"/>
      <c r="C979" s="317"/>
      <c r="D979" s="238"/>
      <c r="E979" s="224">
        <v>2024</v>
      </c>
      <c r="F979" s="156">
        <f t="shared" si="168"/>
        <v>11370</v>
      </c>
      <c r="G979" s="7"/>
      <c r="H979" s="7"/>
      <c r="I979" s="7">
        <v>11370</v>
      </c>
      <c r="J979" s="7">
        <v>0</v>
      </c>
      <c r="K979" s="407"/>
      <c r="L979" s="99"/>
    </row>
    <row r="980" spans="1:22" ht="18" customHeight="1" x14ac:dyDescent="0.25">
      <c r="A980" s="375"/>
      <c r="B980" s="378"/>
      <c r="C980" s="317"/>
      <c r="D980" s="238"/>
      <c r="E980" s="224">
        <v>2025</v>
      </c>
      <c r="F980" s="156">
        <f t="shared" ref="F980" si="169">SUM(G980:J980)</f>
        <v>11825</v>
      </c>
      <c r="G980" s="7"/>
      <c r="H980" s="7"/>
      <c r="I980" s="7">
        <v>11825</v>
      </c>
      <c r="J980" s="7">
        <v>0</v>
      </c>
      <c r="K980" s="407"/>
      <c r="L980" s="99"/>
    </row>
    <row r="981" spans="1:22" ht="18" customHeight="1" x14ac:dyDescent="0.2">
      <c r="A981" s="375"/>
      <c r="B981" s="378"/>
      <c r="C981" s="317"/>
      <c r="D981" s="238"/>
      <c r="E981" s="18" t="s">
        <v>18</v>
      </c>
      <c r="F981" s="140">
        <f>SUM(F972:F980)</f>
        <v>97292.5</v>
      </c>
      <c r="G981" s="140"/>
      <c r="H981" s="140">
        <f>SUM(H972:H975)</f>
        <v>0</v>
      </c>
      <c r="I981" s="140">
        <f>SUM(I972:I980)</f>
        <v>97292.5</v>
      </c>
      <c r="J981" s="140">
        <f>SUM(J972:J975)</f>
        <v>0</v>
      </c>
      <c r="K981" s="408"/>
    </row>
    <row r="982" spans="1:22" ht="26.25" thickBot="1" x14ac:dyDescent="0.25">
      <c r="A982" s="334" t="s">
        <v>187</v>
      </c>
      <c r="B982" s="335"/>
      <c r="C982" s="335"/>
      <c r="D982" s="335"/>
      <c r="E982" s="6" t="s">
        <v>299</v>
      </c>
      <c r="F982" s="186">
        <f>SUM(F972:F980)</f>
        <v>97292.5</v>
      </c>
      <c r="G982" s="147"/>
      <c r="H982" s="9">
        <f>SUM(H972:H975)</f>
        <v>0</v>
      </c>
      <c r="I982" s="9">
        <f>SUM(I972:I980)</f>
        <v>97292.5</v>
      </c>
      <c r="J982" s="147"/>
      <c r="K982" s="6"/>
    </row>
    <row r="983" spans="1:22" ht="47.25" x14ac:dyDescent="0.25">
      <c r="A983" s="409" t="s">
        <v>312</v>
      </c>
      <c r="B983" s="410"/>
      <c r="C983" s="410"/>
      <c r="D983" s="411"/>
      <c r="E983" s="198" t="s">
        <v>299</v>
      </c>
      <c r="F983" s="198" t="s">
        <v>18</v>
      </c>
      <c r="G983" s="199" t="s">
        <v>10</v>
      </c>
      <c r="H983" s="200" t="s">
        <v>11</v>
      </c>
      <c r="I983" s="200" t="s">
        <v>12</v>
      </c>
      <c r="J983" s="200" t="s">
        <v>13</v>
      </c>
      <c r="K983" s="201"/>
      <c r="L983" s="107"/>
      <c r="M983" s="99"/>
    </row>
    <row r="984" spans="1:22" ht="16.5" thickBot="1" x14ac:dyDescent="0.3">
      <c r="A984" s="412"/>
      <c r="B984" s="413"/>
      <c r="C984" s="413"/>
      <c r="D984" s="414"/>
      <c r="E984" s="202"/>
      <c r="F984" s="197">
        <f>F982+F970+F958</f>
        <v>639586.69999999995</v>
      </c>
      <c r="G984" s="197"/>
      <c r="H984" s="197">
        <f>H982+H970+H958</f>
        <v>0</v>
      </c>
      <c r="I984" s="197">
        <f>I982+I970+I958</f>
        <v>639586.69999999995</v>
      </c>
      <c r="J984" s="146">
        <f>J982+J970+J958</f>
        <v>0</v>
      </c>
      <c r="K984" s="51"/>
    </row>
    <row r="985" spans="1:22" ht="47.25" x14ac:dyDescent="0.25">
      <c r="A985" s="395" t="s">
        <v>110</v>
      </c>
      <c r="B985" s="396"/>
      <c r="C985" s="396"/>
      <c r="D985" s="397"/>
      <c r="E985" s="198" t="s">
        <v>123</v>
      </c>
      <c r="F985" s="198" t="s">
        <v>18</v>
      </c>
      <c r="G985" s="199" t="s">
        <v>10</v>
      </c>
      <c r="H985" s="200" t="s">
        <v>11</v>
      </c>
      <c r="I985" s="200" t="s">
        <v>12</v>
      </c>
      <c r="J985" s="207" t="s">
        <v>13</v>
      </c>
      <c r="K985" s="204"/>
    </row>
    <row r="986" spans="1:22" ht="15" x14ac:dyDescent="0.25">
      <c r="A986" s="398"/>
      <c r="B986" s="399"/>
      <c r="C986" s="399"/>
      <c r="D986" s="400"/>
      <c r="E986" s="212">
        <v>2015</v>
      </c>
      <c r="F986" s="156">
        <f t="shared" ref="F986:F991" si="170">SUM(H986:J986)</f>
        <v>1157693.2999999998</v>
      </c>
      <c r="G986" s="7"/>
      <c r="H986" s="7">
        <f>H931+H917+H905+H893+H881+H855+H848+H841+H829+H817+H809+H801+H786+H774+H764+H752+H742+H735+H723+H711+H696+H688+H676+H664+H635+H625+H617+H610+H598+H587+H566+H542+H530+H523+H516+H503+H494+H466+H457+H433+H385+H373+H361+H329+H306+H266+H250+H228+H222+H219+H210+H155+H143+H107+H82+H49+H29+H22+H18+H16</f>
        <v>986489.1</v>
      </c>
      <c r="I986" s="7">
        <f>I16+I18+I22+I29+I49+I56+I58+I82+I99+I107+I117+I127+I134+I143+I155+I167+I174+I210+I219+I228+I250+I266+I306+I329+I351+I361+I373+I385+I433+I457+I466+I494+I503+I516+I523+I530+I566+I587+I598+I610+I617+I625+I635+I664+I676+I688+I696+I711+I723+I735+I742+I752+I764+I774+I786+I801+I809+I817+I829+I841+I848+I855+I881+I893+I905+I917+I931+I542+I578</f>
        <v>170563.49999999997</v>
      </c>
      <c r="J986" s="7">
        <f>J16+J18+J22+J29+J49+J56+J58+J82+J99+J107+J117+J127+J134+J143+J155+J167+J174+J210+J219+J228+J250+J266+J306+J329+J351+J361+J373+J385+J433+J457+J466+J494+J503+J516+J523+J530+J566+J587+J598+J610+J617+J625+J635+J664+J676+J688+J696+J711+J723+J735+J742+J752+J764+J774+J786+J801+J809+J817+J829+J841+J848+J855+J881+J893+J905+J917+J931</f>
        <v>640.69999999999993</v>
      </c>
      <c r="K986" s="385"/>
    </row>
    <row r="987" spans="1:22" ht="15" x14ac:dyDescent="0.25">
      <c r="A987" s="398"/>
      <c r="B987" s="399"/>
      <c r="C987" s="399"/>
      <c r="D987" s="400"/>
      <c r="E987" s="212">
        <v>2016</v>
      </c>
      <c r="F987" s="156">
        <f t="shared" si="170"/>
        <v>1134983.6000000001</v>
      </c>
      <c r="G987" s="7"/>
      <c r="H987" s="7">
        <f>H23+H30+H50+H59+H83+H100+H108+H118+H128+H135+H144+H156+H168+H175+H211+H220+H229+H251+H267+H307+H330+H352+H362+H374+H386+H434+H458+H467+H495+H504+H517+H524+H531+H567+H588+H599+H611+H618+H626+H636+H665+H677+H689+H697+H712+H724+H736+H743+H753+H765+H775+H787+H802+H810+H818+H830+H842+H849+H856+H882+H894+H906+H918+H932+H393+H195+H37+H236+H404</f>
        <v>934993.5</v>
      </c>
      <c r="I987" s="7">
        <f>I23+I30+I50+I59+I83+I100+I108+I118+I128+I135+I144+I156+I168+I175+I211+I220+I229+I251+I267+I307+I330+I352+I362+I374+I386+I434+I458+I467+I495+I504+I517+I524+I531+I567+I588+I599+I611+I618+I626+I636+I665+I677+I689+I697+I712+I724+I736+I743+I753+I765+I775+I787+I802+I810+I818+I830+I842+I849+I856+I882+I894+I906+I918+I932+I579+I549+I258+I90+I393+I236+I37+I404</f>
        <v>199061.29999999996</v>
      </c>
      <c r="J987" s="7">
        <f>J23+J30+J50+J59+J83+J100+J108+J118+J128+J135+J144+J156+J168+J175+J211+J220+J229+J251+J267+J307+J330+J352+J362+J374+J386+J434+J458+J467+J495+J504+J517+J524+J531+J567+J588+J599+J611+J618+J626+J636+J665+J677+J689+J697+J712+J724+J736+J743+J753+J765+J775+J787+J802+J810+J818+J830+J842+J849+J856+J882+J894+J906+J918+J932</f>
        <v>928.79999999999984</v>
      </c>
      <c r="K987" s="386"/>
      <c r="P987" s="4">
        <f>SUM(P990:P995)/1000</f>
        <v>9277.5</v>
      </c>
      <c r="R987" s="107">
        <f>P987+N990</f>
        <v>1938.2000000001863</v>
      </c>
    </row>
    <row r="988" spans="1:22" ht="15" x14ac:dyDescent="0.25">
      <c r="A988" s="398"/>
      <c r="B988" s="399"/>
      <c r="C988" s="399"/>
      <c r="D988" s="400"/>
      <c r="E988" s="212">
        <v>2017</v>
      </c>
      <c r="F988" s="156">
        <f t="shared" si="170"/>
        <v>1454809.5</v>
      </c>
      <c r="G988" s="7"/>
      <c r="H988" s="7">
        <f>H24+H31+H38+H41+H51+H60+H70+H84+H91+H101+H109+H119+H129+H136+H145+H157+H169+H176+H196+H212+H224+H230+H237+H240+H242+H245+H252+H259+H268+H278+H283+H480+H293+H308+H318+H331+H341+H353+H363+H375+H387+H394+H405+H411+H421+H435+H445+H459+H468+H496+H505+H518+H525+H532+H544+H550+H556+H568+H580+H589+H600+H612+H619+H627+H637+H649+H666+H678+H690+H698+H713+H725+H737+H744+H754+H766+H776+H788+H803+H811+H819+H831+H843+H850+H857+H864+H883+H895+H907+H919+H933+H948+H960+H972</f>
        <v>1075219.2</v>
      </c>
      <c r="I988" s="7">
        <f>I24+I31+I38+I41+I51+I60+I70+I84+I91+I101+I109+I119+I129+I136+I145+I157+I169+I176+I196+I212+I224+I230+I237+I240+I242+I245+I252+I259+I268+I278+I283+I480+I293+I308+I318+I331+I341+I353+I363+I375+I387+I394+I405+I411+I421+I435+I445+I459+I468+I496+I505+I518+I525+I532+I544+I550+I556+I568+I580+I589+I600+I612+I619+I627+I637+I649+I666+I678+I690+I698+I713+I725+I737+I744+I754+I766+I776+I788+I803+I811+I819+I831+I843+I850+I857+I864+I883+I895+I907+I919+I933+I948+I960+I972+I45</f>
        <v>378497.69999999995</v>
      </c>
      <c r="J988" s="7">
        <f t="shared" ref="J988:J996" si="171">J24+J31+J51+J60+J84+J101+J109+J119+J129+J136+J145+J157+J169+J176+J212+J230+J252+J268+J308+J331+J353+J363+J375+J387+J435+J459+J468+J496+J505+J518+J525+J532+J568+J589+J600+J612+J619+J627+J637+J666+J678+J690+J698+J713+J725+J737+J744+J754+J766+J776+J788+J803+J811+J819+J831+J843+J850+J857+J883+J895+J907+J919+J933</f>
        <v>1092.5999999999999</v>
      </c>
      <c r="K988" s="386"/>
    </row>
    <row r="989" spans="1:22" ht="15" x14ac:dyDescent="0.25">
      <c r="A989" s="398"/>
      <c r="B989" s="399"/>
      <c r="C989" s="399"/>
      <c r="D989" s="400"/>
      <c r="E989" s="212">
        <v>2018</v>
      </c>
      <c r="F989" s="156">
        <f t="shared" si="170"/>
        <v>1602951.9000000004</v>
      </c>
      <c r="G989" s="7"/>
      <c r="H989" s="7">
        <f>H25+H32+H52+H61+H85+H102+H110+H120+H130+H137+H146+H158+H170+H177+H213+H231+H253+H269+H309+H332+H354+H364+H376+H388+H436+H460+H469+H497+H506+H519+H526+H533+H569+H590+H601+H613+H620+H628+H638+H667+H679+H691+H699+H714+H726+H738+H745+H755+H767+H777+H789+H804+H812+H820+H832+H844+H851+H858+H884+H896+H908+H920+H934+H197+H225+H71+H284+H319+H342+H412+H650+H39+H42+H238+H247+H243</f>
        <v>1207746.5000000002</v>
      </c>
      <c r="I989" s="7">
        <f>I25+I32+I52+I61+I85+I102+I110+I120+I130+I137+I146+I158+I170+I177+I213+I231+I253+I269+I309+I332+I354+I364+I376+I388+I436+I460+I469+I497+I506+I519+I526+I533+I569+I590+I601+I613+I620+I628+I638+I667+I679+I691+I699+I714+I726+I738+I745+I755+I767+I777+I789+I804+I812+I820+I832+I844+I851+I858+I884+I896+I908+I920+I934+I581+I92+I260+I395+I406+I551+I225+I42+I973+I961+I949+I865+I446+I422+I294+I481+I284+I247+I243+I39</f>
        <v>393203.3000000001</v>
      </c>
      <c r="J989" s="7">
        <f t="shared" si="171"/>
        <v>2002.1</v>
      </c>
      <c r="K989" s="386"/>
    </row>
    <row r="990" spans="1:22" ht="15" x14ac:dyDescent="0.25">
      <c r="A990" s="398"/>
      <c r="B990" s="399"/>
      <c r="C990" s="399"/>
      <c r="D990" s="400"/>
      <c r="E990" s="212">
        <v>2019</v>
      </c>
      <c r="F990" s="156">
        <f>SUM(H990:J990)</f>
        <v>1865553.0999999999</v>
      </c>
      <c r="G990" s="7"/>
      <c r="H990" s="7">
        <f>H26+H33+H53+H62+H86+H103+H111+H121+H131+H138+H147+H159+H171+H178+H214+H232+H254+H270+H310+H333+H355+H365+H377+H389+H437+H461+H470+H498+H507+H520+H527+H534+H570+H591+H602+H614+H621+H629+H639+H668+H680+H692+H700+H715+H727+H739+H746+H756+H768+H778+H790+H805+H813+H821+H833+H845+H852+H859+H885+H897+H909+H921+H935+H198+H651+H413+H343+H320+H285+H714+H559+H72</f>
        <v>1384678.9</v>
      </c>
      <c r="I990" s="7">
        <f>I26+I33+I53+I62+I86+I103+I111+I121+I131+I138+I147+I159+I171+I178+I214+I232+I254+I270+I310+I333+I355+I365+I377+I389+I437+I461+I470+I498+I507+I520+I527+I534+I570+I591+I602+I614+I621+I629+I639+I668+I680+I692+I700+I715+I727+I739+I746+I756+I768+I778+I790+I805+I813+I821+I833+I845+I852+I859+I885+I897+I909+I921+I935+I582+I93+I261+I396+I407+I552+I974+I962+I950+I866+I447+I482+I285+I559+I423+I295+I43</f>
        <v>478816.99999999988</v>
      </c>
      <c r="J990" s="7">
        <f t="shared" si="171"/>
        <v>2057.1999999999998</v>
      </c>
      <c r="K990" s="386"/>
      <c r="L990" s="4">
        <v>1856156.6</v>
      </c>
      <c r="M990" s="107">
        <f>F990-J990</f>
        <v>1863495.9</v>
      </c>
      <c r="N990" s="226">
        <f>L990-M990</f>
        <v>-7339.2999999998137</v>
      </c>
      <c r="P990" s="4">
        <v>885369.7</v>
      </c>
      <c r="Q990" s="4" t="s">
        <v>428</v>
      </c>
    </row>
    <row r="991" spans="1:22" ht="15" x14ac:dyDescent="0.25">
      <c r="A991" s="398"/>
      <c r="B991" s="399"/>
      <c r="C991" s="399"/>
      <c r="D991" s="400"/>
      <c r="E991" s="212">
        <v>2020</v>
      </c>
      <c r="F991" s="156">
        <f t="shared" si="170"/>
        <v>1727852.7000000002</v>
      </c>
      <c r="G991" s="7"/>
      <c r="H991" s="7">
        <f>H27+H34+H54+H63+H87+H104+H112+H122+H132+H139+H148+H160+H172+H179+H215+H233+H255+H271+H311+H334+H356+H366+H378+H390+H438+H462+H471+H499+H508+H521+H528+H535+H571+H592+H603+H615+H622+H630+H640+H669+H681+H693+H701+H716+H728+H740+H747+H757+H769+H779+H791+H806+H814+H822+H834+H846+H853+H860+H886+H898+H910+H922+H936+H652+H414+H344+H321+H286+H199+H73</f>
        <v>1429530.1</v>
      </c>
      <c r="I991" s="7">
        <f>I27+I34+I54+I63+I87+I104+I112+I122+I132+I139+I148+I160+I172+I179+I215+I233+I255+I271+I311+I334+I356+I366+I378+I390+I438+I462+I471+I499+I508+I521+I528+I535+I571+I592+I603+I615+I622+I630+I640+I669+I681+I693+I701+I716+I728+I740+I747+I757+I769+I779+I791+I806+I814+I822+I834+I846+I853+I860+I886+I898+I910+I922+I936+I583+I975+I963+I951+I448+I397+I483+I286+I867+I553+I408+I262</f>
        <v>297935</v>
      </c>
      <c r="J991" s="7">
        <f t="shared" si="171"/>
        <v>387.59999999999997</v>
      </c>
      <c r="K991" s="386"/>
      <c r="P991" s="4">
        <v>1031330.3</v>
      </c>
      <c r="Q991" s="4" t="s">
        <v>429</v>
      </c>
    </row>
    <row r="992" spans="1:22" ht="15" x14ac:dyDescent="0.25">
      <c r="A992" s="398"/>
      <c r="B992" s="399"/>
      <c r="C992" s="399"/>
      <c r="D992" s="400"/>
      <c r="E992" s="224">
        <v>2021</v>
      </c>
      <c r="F992" s="156">
        <f t="shared" ref="F992:F993" si="172">SUM(H992:J992)</f>
        <v>1745172.5</v>
      </c>
      <c r="G992" s="7"/>
      <c r="H992" s="7">
        <f>H35+H64+H105+H133+H149+H161+H173+H180+H216+H234+H256+H272+H312+H335+H357+H367+H379+H439+H463+H472+H500+H509+H522+H529+H536+H572+H593+H604+H616+H623+H631+H641+H670+H682+H694+H702+H717+H729+H741+H748+H758+H770+H780+H792+H807+H815+H823+H835+H847+H854+H861+H887+H899+H911+H923+H937+H200+H653+H415+H345+H322+H287+H74</f>
        <v>1498204.3</v>
      </c>
      <c r="I992" s="7">
        <f>I35+I64+I149+I161+I216+I234+I256+I272+I312+I335+I367+I379+I439+I472+I500+I509+I522+I536+I572+I593+I604+I623+I631+I641+I670+I682+I694+I702+I717+I729+I758+I780+I792+I807+I815+I823+I835+I887+I899+I911+I923+I937+I584+I95+I263+I398+I409+I554+I976+I964+I952+I868+I449+I484+I287</f>
        <v>246580.59999999998</v>
      </c>
      <c r="J992" s="7">
        <f t="shared" si="171"/>
        <v>387.59999999999997</v>
      </c>
      <c r="K992" s="387"/>
      <c r="P992" s="227">
        <v>1938200</v>
      </c>
      <c r="Q992" s="227" t="s">
        <v>430</v>
      </c>
      <c r="R992" s="227"/>
    </row>
    <row r="993" spans="1:17" ht="15" x14ac:dyDescent="0.25">
      <c r="A993" s="398"/>
      <c r="B993" s="399"/>
      <c r="C993" s="399"/>
      <c r="D993" s="400"/>
      <c r="E993" s="224">
        <v>2022</v>
      </c>
      <c r="F993" s="156">
        <f t="shared" si="172"/>
        <v>1841792.8</v>
      </c>
      <c r="G993" s="7"/>
      <c r="H993" s="7">
        <f>H65+H150+H162+H217+H273+H313+H336+H368+H380+H440+H473+H510+H537+H573+H605+H642+H671+H683+H703+H718+H730+H759+H781+H793+H824+H836+H888+H900+H912+H924+H938+H654+H416+H346+H323+H288+H201+H75</f>
        <v>1584961.2</v>
      </c>
      <c r="I993" s="7">
        <f>I65+I150+I162+I217+I273+I313+I336+I368+I380+I440+I473+I510+I537+I573+I605+I642+I671+I683+I703+I718+I730+I759+I781+I793+I824+I836+I888+I900+I912+I924+I938+I977+I965+I953+I450+I399+I485+I288+I869</f>
        <v>256443.99999999997</v>
      </c>
      <c r="J993" s="7">
        <f t="shared" si="171"/>
        <v>387.59999999999997</v>
      </c>
      <c r="K993" s="387"/>
      <c r="P993" s="4">
        <v>5422600</v>
      </c>
      <c r="Q993" s="4" t="s">
        <v>431</v>
      </c>
    </row>
    <row r="994" spans="1:17" ht="15" x14ac:dyDescent="0.25">
      <c r="A994" s="398"/>
      <c r="B994" s="399"/>
      <c r="C994" s="399"/>
      <c r="D994" s="400"/>
      <c r="E994" s="224">
        <v>2023</v>
      </c>
      <c r="F994" s="156">
        <f t="shared" ref="F994:F995" si="173">SUM(H994:J994)</f>
        <v>1924934.7000000002</v>
      </c>
      <c r="G994" s="7"/>
      <c r="H994" s="7">
        <f>H66+H151+H163+H274+H314+H337+H369+H381+H441+H474+H511+H538+H574+H606+H643+H672+H684+H704+H719+H731+H760+H782+H794+H825+H837+H889+H901+H913+H925+H939+H202+H655+H417+H347+H324+H289+H76</f>
        <v>1657869</v>
      </c>
      <c r="I994" s="7">
        <f>I66+I151+I163+I274+I314+I337+I369+I381+I441+I474+I511+I538+I574+I606+I643+I672+I684+I704+I719+I731+I760+I782+I794+I825+I837+I889+I901+I913+I925+I939+I400+I978+I966+I954+I870+I451+I486+I289</f>
        <v>266678.09999999998</v>
      </c>
      <c r="J994" s="7">
        <f t="shared" si="171"/>
        <v>387.59999999999997</v>
      </c>
      <c r="K994" s="387"/>
      <c r="M994" s="4" t="s">
        <v>427</v>
      </c>
    </row>
    <row r="995" spans="1:17" ht="15" x14ac:dyDescent="0.25">
      <c r="A995" s="398"/>
      <c r="B995" s="399"/>
      <c r="C995" s="399"/>
      <c r="D995" s="400"/>
      <c r="E995" s="224">
        <v>2024</v>
      </c>
      <c r="F995" s="156">
        <f t="shared" si="173"/>
        <v>2011828.3000000003</v>
      </c>
      <c r="G995" s="7"/>
      <c r="H995" s="7">
        <f>H67+H136+H152+H164+H275+H315+H338+H370+H382+H442+H475+H503+H512+H539+H575+H607+H644+H673+H685+H705+H720+H732+H761+H783+H795+H826+H838+H890+H902+H914+H926+H940+H656+H418+H348+H325+H290+H203+H77</f>
        <v>1734116.1</v>
      </c>
      <c r="I995" s="7">
        <f>I67+I152+I164+I275+I315+I338+I370+I382+I442+I475+I512+I539+I575+I607+I644+I673+I685+I705+I720+I732+I761+I783+I795+I826+I838+I890+I902+I914+I926+I940+I979+I967+I955+I452+I401+I487+I290+I871</f>
        <v>277324.59999999998</v>
      </c>
      <c r="J995" s="7">
        <f t="shared" si="171"/>
        <v>387.59999999999997</v>
      </c>
      <c r="K995" s="387"/>
    </row>
    <row r="996" spans="1:17" ht="15" x14ac:dyDescent="0.25">
      <c r="A996" s="398"/>
      <c r="B996" s="399"/>
      <c r="C996" s="399"/>
      <c r="D996" s="400"/>
      <c r="E996" s="224">
        <v>2025</v>
      </c>
      <c r="F996" s="156">
        <f t="shared" ref="F996" si="174">SUM(H996:J996)</f>
        <v>2102668.4</v>
      </c>
      <c r="G996" s="7"/>
      <c r="H996" s="7">
        <f>H68+H153+H165+H276+H316+H339+H371+H383+H443+H476+H513+H540+H576+H597+H608+H645+H674+H686+H706+H721+H733+H762+H784+H796+H827+H839+H891+H903+H915+H927+H941+H657+H419+H349+H326+H291+H204+H78</f>
        <v>1813885.6999999997</v>
      </c>
      <c r="I996" s="7">
        <f>I68+I153+I165+I276+I316+I339+I371+I383+I443+I476+I513+I540+I576+I608+I645+I674+I686+I706+I721+I733+I762+I784+I796+I827+I839+I891+I903+I915+I927+I941+I980+I968+I956+I453+I402+I488+I291+I872</f>
        <v>288395.09999999998</v>
      </c>
      <c r="J996" s="7">
        <f t="shared" si="171"/>
        <v>387.59999999999997</v>
      </c>
      <c r="K996" s="387"/>
    </row>
    <row r="997" spans="1:17" ht="15.75" customHeight="1" thickBot="1" x14ac:dyDescent="0.25">
      <c r="A997" s="401"/>
      <c r="B997" s="402"/>
      <c r="C997" s="402"/>
      <c r="D997" s="403"/>
      <c r="E997" s="167" t="s">
        <v>124</v>
      </c>
      <c r="F997" s="203">
        <f>SUM(F986:F996)</f>
        <v>18570240.800000001</v>
      </c>
      <c r="G997" s="168"/>
      <c r="H997" s="168">
        <f>SUM(H986:H996)</f>
        <v>15307693.599999998</v>
      </c>
      <c r="I997" s="168">
        <f>SUM(I986:I996)</f>
        <v>3253500.2</v>
      </c>
      <c r="J997" s="168">
        <f>SUM(J986:J996)</f>
        <v>9047</v>
      </c>
      <c r="K997" s="388"/>
    </row>
    <row r="999" spans="1:17" x14ac:dyDescent="0.2">
      <c r="I999" s="85"/>
    </row>
    <row r="1002" spans="1:17" x14ac:dyDescent="0.2">
      <c r="H1002" s="107"/>
      <c r="I1002" s="107"/>
    </row>
  </sheetData>
  <mergeCells count="619">
    <mergeCell ref="A490:D491"/>
    <mergeCell ref="A660:D661"/>
    <mergeCell ref="A877:D878"/>
    <mergeCell ref="B445:B454"/>
    <mergeCell ref="C445:C454"/>
    <mergeCell ref="D445:D454"/>
    <mergeCell ref="K445:K454"/>
    <mergeCell ref="A455:D455"/>
    <mergeCell ref="A456:K456"/>
    <mergeCell ref="A457:A463"/>
    <mergeCell ref="B457:B463"/>
    <mergeCell ref="C457:C463"/>
    <mergeCell ref="D457:D463"/>
    <mergeCell ref="K457:K463"/>
    <mergeCell ref="A465:K465"/>
    <mergeCell ref="B466:B477"/>
    <mergeCell ref="C466:C477"/>
    <mergeCell ref="D466:D477"/>
    <mergeCell ref="A464:D464"/>
    <mergeCell ref="K466:K477"/>
    <mergeCell ref="K516:K522"/>
    <mergeCell ref="K494:K500"/>
    <mergeCell ref="A501:K501"/>
    <mergeCell ref="A502:K502"/>
    <mergeCell ref="A947:K947"/>
    <mergeCell ref="A948:A957"/>
    <mergeCell ref="B948:B957"/>
    <mergeCell ref="C948:C957"/>
    <mergeCell ref="D948:D957"/>
    <mergeCell ref="K948:K957"/>
    <mergeCell ref="A764:A770"/>
    <mergeCell ref="B764:B770"/>
    <mergeCell ref="C764:C770"/>
    <mergeCell ref="D764:D770"/>
    <mergeCell ref="K786:K797"/>
    <mergeCell ref="K774:K785"/>
    <mergeCell ref="K817:K854"/>
    <mergeCell ref="C864:C875"/>
    <mergeCell ref="A771:D771"/>
    <mergeCell ref="B905:B916"/>
    <mergeCell ref="C905:C916"/>
    <mergeCell ref="D905:D916"/>
    <mergeCell ref="D893:D904"/>
    <mergeCell ref="K864:K875"/>
    <mergeCell ref="D864:D875"/>
    <mergeCell ref="A817:A828"/>
    <mergeCell ref="B817:B828"/>
    <mergeCell ref="C817:C828"/>
    <mergeCell ref="K433:K444"/>
    <mergeCell ref="K881:K928"/>
    <mergeCell ref="D917:D928"/>
    <mergeCell ref="D809:D816"/>
    <mergeCell ref="C809:C816"/>
    <mergeCell ref="A809:A816"/>
    <mergeCell ref="A515:K515"/>
    <mergeCell ref="A516:A522"/>
    <mergeCell ref="B516:B522"/>
    <mergeCell ref="C516:C522"/>
    <mergeCell ref="A563:D563"/>
    <mergeCell ref="A549:A555"/>
    <mergeCell ref="K523:K529"/>
    <mergeCell ref="A530:A541"/>
    <mergeCell ref="B530:B541"/>
    <mergeCell ref="C530:C541"/>
    <mergeCell ref="D530:D541"/>
    <mergeCell ref="K530:K541"/>
    <mergeCell ref="A523:A529"/>
    <mergeCell ref="B523:B529"/>
    <mergeCell ref="C523:C529"/>
    <mergeCell ref="D523:D529"/>
    <mergeCell ref="A542:A548"/>
    <mergeCell ref="D516:D522"/>
    <mergeCell ref="A503:A514"/>
    <mergeCell ref="B503:B514"/>
    <mergeCell ref="C503:C514"/>
    <mergeCell ref="D503:D514"/>
    <mergeCell ref="K503:K514"/>
    <mergeCell ref="A494:A500"/>
    <mergeCell ref="B494:B500"/>
    <mergeCell ref="C494:C500"/>
    <mergeCell ref="D494:D500"/>
    <mergeCell ref="A265:K265"/>
    <mergeCell ref="A266:A277"/>
    <mergeCell ref="B266:B277"/>
    <mergeCell ref="C266:C277"/>
    <mergeCell ref="D266:D277"/>
    <mergeCell ref="K266:K277"/>
    <mergeCell ref="A303:D303"/>
    <mergeCell ref="A304:K304"/>
    <mergeCell ref="A305:K305"/>
    <mergeCell ref="D293:D302"/>
    <mergeCell ref="K293:K302"/>
    <mergeCell ref="B306:B317"/>
    <mergeCell ref="C306:C317"/>
    <mergeCell ref="D306:D317"/>
    <mergeCell ref="A480:A489"/>
    <mergeCell ref="B480:B489"/>
    <mergeCell ref="C480:C489"/>
    <mergeCell ref="D480:D489"/>
    <mergeCell ref="K480:K489"/>
    <mergeCell ref="A293:A302"/>
    <mergeCell ref="B293:B302"/>
    <mergeCell ref="K306:K317"/>
    <mergeCell ref="A479:K479"/>
    <mergeCell ref="C392:C403"/>
    <mergeCell ref="D392:D403"/>
    <mergeCell ref="D329:D340"/>
    <mergeCell ref="K329:K340"/>
    <mergeCell ref="A358:D358"/>
    <mergeCell ref="A360:K360"/>
    <mergeCell ref="A351:A357"/>
    <mergeCell ref="B351:B357"/>
    <mergeCell ref="K421:K430"/>
    <mergeCell ref="B318:B327"/>
    <mergeCell ref="C318:C327"/>
    <mergeCell ref="D318:D327"/>
    <mergeCell ref="B258:B264"/>
    <mergeCell ref="A328:K328"/>
    <mergeCell ref="A329:A340"/>
    <mergeCell ref="B329:B340"/>
    <mergeCell ref="C329:C340"/>
    <mergeCell ref="A250:A257"/>
    <mergeCell ref="B250:B257"/>
    <mergeCell ref="C250:C257"/>
    <mergeCell ref="D250:D257"/>
    <mergeCell ref="K250:K257"/>
    <mergeCell ref="A278:A282"/>
    <mergeCell ref="B278:B282"/>
    <mergeCell ref="C278:C282"/>
    <mergeCell ref="D278:D282"/>
    <mergeCell ref="K278:K282"/>
    <mergeCell ref="A283:A292"/>
    <mergeCell ref="B283:B292"/>
    <mergeCell ref="C283:C292"/>
    <mergeCell ref="D283:D292"/>
    <mergeCell ref="K283:K292"/>
    <mergeCell ref="A318:A327"/>
    <mergeCell ref="K258:K264"/>
    <mergeCell ref="C293:C302"/>
    <mergeCell ref="A306:A317"/>
    <mergeCell ref="K222:K226"/>
    <mergeCell ref="B228:B235"/>
    <mergeCell ref="B222:B226"/>
    <mergeCell ref="C222:C226"/>
    <mergeCell ref="D222:D226"/>
    <mergeCell ref="A249:K249"/>
    <mergeCell ref="A228:A235"/>
    <mergeCell ref="A222:A226"/>
    <mergeCell ref="C228:C235"/>
    <mergeCell ref="D228:D235"/>
    <mergeCell ref="K228:K235"/>
    <mergeCell ref="A236:A239"/>
    <mergeCell ref="B236:B239"/>
    <mergeCell ref="C236:C239"/>
    <mergeCell ref="D236:D239"/>
    <mergeCell ref="K236:K239"/>
    <mergeCell ref="A240:A241"/>
    <mergeCell ref="B240:B241"/>
    <mergeCell ref="C240:C241"/>
    <mergeCell ref="A242:A244"/>
    <mergeCell ref="B242:B244"/>
    <mergeCell ref="C242:C244"/>
    <mergeCell ref="D242:D244"/>
    <mergeCell ref="K242:K244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16:A17"/>
    <mergeCell ref="B16:B17"/>
    <mergeCell ref="W20:Z20"/>
    <mergeCell ref="A21:K21"/>
    <mergeCell ref="A22:A28"/>
    <mergeCell ref="B22:B28"/>
    <mergeCell ref="C22:C28"/>
    <mergeCell ref="L20:N20"/>
    <mergeCell ref="O20:R20"/>
    <mergeCell ref="S20:V20"/>
    <mergeCell ref="A20:D20"/>
    <mergeCell ref="D22:D28"/>
    <mergeCell ref="A18:A19"/>
    <mergeCell ref="B18:B19"/>
    <mergeCell ref="C18:C19"/>
    <mergeCell ref="D18:D19"/>
    <mergeCell ref="K18:K19"/>
    <mergeCell ref="C16:C17"/>
    <mergeCell ref="D16:D17"/>
    <mergeCell ref="K16:K17"/>
    <mergeCell ref="K22:K46"/>
    <mergeCell ref="D29:D36"/>
    <mergeCell ref="A29:A36"/>
    <mergeCell ref="B29:B36"/>
    <mergeCell ref="A80:D80"/>
    <mergeCell ref="A81:K81"/>
    <mergeCell ref="A82:A88"/>
    <mergeCell ref="B82:B88"/>
    <mergeCell ref="C82:C88"/>
    <mergeCell ref="D82:D88"/>
    <mergeCell ref="K82:K88"/>
    <mergeCell ref="A70:A79"/>
    <mergeCell ref="B70:B79"/>
    <mergeCell ref="C70:C79"/>
    <mergeCell ref="D70:D79"/>
    <mergeCell ref="K70:K79"/>
    <mergeCell ref="A97:D97"/>
    <mergeCell ref="A98:K98"/>
    <mergeCell ref="C89:C96"/>
    <mergeCell ref="D89:D96"/>
    <mergeCell ref="A89:A96"/>
    <mergeCell ref="B89:B96"/>
    <mergeCell ref="K89:K96"/>
    <mergeCell ref="A114:D114"/>
    <mergeCell ref="A115:K115"/>
    <mergeCell ref="A116:K116"/>
    <mergeCell ref="A117:A123"/>
    <mergeCell ref="B117:B123"/>
    <mergeCell ref="C117:C123"/>
    <mergeCell ref="D117:D123"/>
    <mergeCell ref="K117:K123"/>
    <mergeCell ref="A99:A105"/>
    <mergeCell ref="B99:B105"/>
    <mergeCell ref="C99:C105"/>
    <mergeCell ref="D99:D105"/>
    <mergeCell ref="K99:K105"/>
    <mergeCell ref="A106:K106"/>
    <mergeCell ref="A107:A113"/>
    <mergeCell ref="B107:B113"/>
    <mergeCell ref="C107:C113"/>
    <mergeCell ref="D107:D113"/>
    <mergeCell ref="K107:K113"/>
    <mergeCell ref="A124:E124"/>
    <mergeCell ref="F124:J124"/>
    <mergeCell ref="A125:K125"/>
    <mergeCell ref="A126:K126"/>
    <mergeCell ref="K127:K133"/>
    <mergeCell ref="A134:A140"/>
    <mergeCell ref="B134:B140"/>
    <mergeCell ref="C134:C140"/>
    <mergeCell ref="D134:D140"/>
    <mergeCell ref="K134:K140"/>
    <mergeCell ref="C188:C194"/>
    <mergeCell ref="D188:D194"/>
    <mergeCell ref="A188:A194"/>
    <mergeCell ref="K143:K166"/>
    <mergeCell ref="A155:A166"/>
    <mergeCell ref="B155:B166"/>
    <mergeCell ref="C155:C166"/>
    <mergeCell ref="D155:D166"/>
    <mergeCell ref="A127:A133"/>
    <mergeCell ref="B127:B133"/>
    <mergeCell ref="C127:C133"/>
    <mergeCell ref="D127:D133"/>
    <mergeCell ref="A141:K141"/>
    <mergeCell ref="A142:K142"/>
    <mergeCell ref="B210:B218"/>
    <mergeCell ref="K195:K205"/>
    <mergeCell ref="A206:D206"/>
    <mergeCell ref="D181:D187"/>
    <mergeCell ref="F181:J187"/>
    <mergeCell ref="A143:A154"/>
    <mergeCell ref="B143:B154"/>
    <mergeCell ref="C143:C154"/>
    <mergeCell ref="D143:D154"/>
    <mergeCell ref="K167:K173"/>
    <mergeCell ref="A174:A180"/>
    <mergeCell ref="B174:B180"/>
    <mergeCell ref="C174:C180"/>
    <mergeCell ref="D174:D180"/>
    <mergeCell ref="K174:K180"/>
    <mergeCell ref="A167:A173"/>
    <mergeCell ref="B167:B173"/>
    <mergeCell ref="C167:C173"/>
    <mergeCell ref="D167:D173"/>
    <mergeCell ref="K181:K194"/>
    <mergeCell ref="A181:A187"/>
    <mergeCell ref="B181:B187"/>
    <mergeCell ref="C181:C187"/>
    <mergeCell ref="B188:B194"/>
    <mergeCell ref="D542:D548"/>
    <mergeCell ref="K549:K555"/>
    <mergeCell ref="K542:K548"/>
    <mergeCell ref="A556:A557"/>
    <mergeCell ref="B556:B557"/>
    <mergeCell ref="C556:C557"/>
    <mergeCell ref="D556:D557"/>
    <mergeCell ref="K556:K557"/>
    <mergeCell ref="A595:D595"/>
    <mergeCell ref="B542:B548"/>
    <mergeCell ref="C542:C548"/>
    <mergeCell ref="A558:K558"/>
    <mergeCell ref="A559:A562"/>
    <mergeCell ref="B559:B562"/>
    <mergeCell ref="C559:C562"/>
    <mergeCell ref="D559:D562"/>
    <mergeCell ref="K559:K562"/>
    <mergeCell ref="A596:K596"/>
    <mergeCell ref="K587:K594"/>
    <mergeCell ref="C578:C585"/>
    <mergeCell ref="A587:A594"/>
    <mergeCell ref="B587:B594"/>
    <mergeCell ref="C587:C594"/>
    <mergeCell ref="D587:D594"/>
    <mergeCell ref="A586:K586"/>
    <mergeCell ref="K566:K585"/>
    <mergeCell ref="D578:D585"/>
    <mergeCell ref="B566:B577"/>
    <mergeCell ref="A566:A577"/>
    <mergeCell ref="A578:A585"/>
    <mergeCell ref="B578:B585"/>
    <mergeCell ref="A649:A658"/>
    <mergeCell ref="B649:B658"/>
    <mergeCell ref="C649:C658"/>
    <mergeCell ref="A647:D647"/>
    <mergeCell ref="A662:K662"/>
    <mergeCell ref="A597:K597"/>
    <mergeCell ref="A598:A609"/>
    <mergeCell ref="B598:B609"/>
    <mergeCell ref="C598:C609"/>
    <mergeCell ref="D598:D609"/>
    <mergeCell ref="K598:K624"/>
    <mergeCell ref="A617:A624"/>
    <mergeCell ref="B617:B624"/>
    <mergeCell ref="C617:C624"/>
    <mergeCell ref="D617:D624"/>
    <mergeCell ref="A610:A616"/>
    <mergeCell ref="B610:B616"/>
    <mergeCell ref="C610:C616"/>
    <mergeCell ref="D610:D616"/>
    <mergeCell ref="D649:D658"/>
    <mergeCell ref="K649:K658"/>
    <mergeCell ref="A659:D659"/>
    <mergeCell ref="K986:K997"/>
    <mergeCell ref="A943:D943"/>
    <mergeCell ref="A944:D944"/>
    <mergeCell ref="A945:D945"/>
    <mergeCell ref="A985:D997"/>
    <mergeCell ref="D931:D942"/>
    <mergeCell ref="A929:D929"/>
    <mergeCell ref="A930:K930"/>
    <mergeCell ref="A931:A942"/>
    <mergeCell ref="B931:B942"/>
    <mergeCell ref="C931:C942"/>
    <mergeCell ref="K931:K942"/>
    <mergeCell ref="A959:K959"/>
    <mergeCell ref="A960:A969"/>
    <mergeCell ref="B960:B969"/>
    <mergeCell ref="C960:C969"/>
    <mergeCell ref="D960:D969"/>
    <mergeCell ref="K960:K969"/>
    <mergeCell ref="D972:D981"/>
    <mergeCell ref="K972:K981"/>
    <mergeCell ref="A982:D982"/>
    <mergeCell ref="A983:D983"/>
    <mergeCell ref="A984:D984"/>
    <mergeCell ref="A946:K946"/>
    <mergeCell ref="A958:D958"/>
    <mergeCell ref="A970:D970"/>
    <mergeCell ref="A971:K971"/>
    <mergeCell ref="A972:A981"/>
    <mergeCell ref="B972:B981"/>
    <mergeCell ref="C972:C981"/>
    <mergeCell ref="B855:B861"/>
    <mergeCell ref="C855:C861"/>
    <mergeCell ref="A917:A928"/>
    <mergeCell ref="B917:B928"/>
    <mergeCell ref="C917:C928"/>
    <mergeCell ref="A905:A916"/>
    <mergeCell ref="A879:K879"/>
    <mergeCell ref="A880:K880"/>
    <mergeCell ref="A893:A904"/>
    <mergeCell ref="B893:B904"/>
    <mergeCell ref="C893:C904"/>
    <mergeCell ref="A881:A892"/>
    <mergeCell ref="B881:B892"/>
    <mergeCell ref="C881:C892"/>
    <mergeCell ref="D855:D861"/>
    <mergeCell ref="A862:D862"/>
    <mergeCell ref="D881:D892"/>
    <mergeCell ref="A876:D876"/>
    <mergeCell ref="A749:D749"/>
    <mergeCell ref="A798:D798"/>
    <mergeCell ref="A774:A785"/>
    <mergeCell ref="B774:B785"/>
    <mergeCell ref="C774:C785"/>
    <mergeCell ref="A786:A797"/>
    <mergeCell ref="B786:B797"/>
    <mergeCell ref="C786:C797"/>
    <mergeCell ref="D786:D797"/>
    <mergeCell ref="D774:D785"/>
    <mergeCell ref="A750:K750"/>
    <mergeCell ref="A751:K751"/>
    <mergeCell ref="D752:D763"/>
    <mergeCell ref="K752:K763"/>
    <mergeCell ref="A772:K772"/>
    <mergeCell ref="K764:K770"/>
    <mergeCell ref="A752:A763"/>
    <mergeCell ref="B752:B763"/>
    <mergeCell ref="C752:C763"/>
    <mergeCell ref="A773:K773"/>
    <mergeCell ref="K855:K861"/>
    <mergeCell ref="A855:A861"/>
    <mergeCell ref="C801:C808"/>
    <mergeCell ref="D801:D808"/>
    <mergeCell ref="K801:K816"/>
    <mergeCell ref="A799:K799"/>
    <mergeCell ref="A800:K800"/>
    <mergeCell ref="B841:B847"/>
    <mergeCell ref="C841:C847"/>
    <mergeCell ref="D841:D847"/>
    <mergeCell ref="C829:C840"/>
    <mergeCell ref="D829:D840"/>
    <mergeCell ref="B809:B816"/>
    <mergeCell ref="D817:D828"/>
    <mergeCell ref="A829:A840"/>
    <mergeCell ref="B829:B840"/>
    <mergeCell ref="A848:A854"/>
    <mergeCell ref="B848:B854"/>
    <mergeCell ref="C848:C854"/>
    <mergeCell ref="D848:D854"/>
    <mergeCell ref="A841:A847"/>
    <mergeCell ref="A801:A808"/>
    <mergeCell ref="B801:B808"/>
    <mergeCell ref="K735:K741"/>
    <mergeCell ref="K742:K748"/>
    <mergeCell ref="K711:K722"/>
    <mergeCell ref="C664:C675"/>
    <mergeCell ref="D664:D675"/>
    <mergeCell ref="K664:K707"/>
    <mergeCell ref="A688:A695"/>
    <mergeCell ref="B688:B695"/>
    <mergeCell ref="D696:D707"/>
    <mergeCell ref="A723:A734"/>
    <mergeCell ref="A735:A741"/>
    <mergeCell ref="B735:B741"/>
    <mergeCell ref="C735:C741"/>
    <mergeCell ref="D711:D722"/>
    <mergeCell ref="A742:A748"/>
    <mergeCell ref="B742:B748"/>
    <mergeCell ref="C742:C748"/>
    <mergeCell ref="D742:D748"/>
    <mergeCell ref="B696:B707"/>
    <mergeCell ref="C696:C707"/>
    <mergeCell ref="B711:B722"/>
    <mergeCell ref="C711:C722"/>
    <mergeCell ref="A696:A707"/>
    <mergeCell ref="A708:D708"/>
    <mergeCell ref="A709:K709"/>
    <mergeCell ref="A710:K710"/>
    <mergeCell ref="K625:K632"/>
    <mergeCell ref="A633:D633"/>
    <mergeCell ref="A634:K634"/>
    <mergeCell ref="A625:A632"/>
    <mergeCell ref="B625:B632"/>
    <mergeCell ref="C625:C632"/>
    <mergeCell ref="D625:D632"/>
    <mergeCell ref="C688:C695"/>
    <mergeCell ref="D688:D695"/>
    <mergeCell ref="K635:K646"/>
    <mergeCell ref="A635:A646"/>
    <mergeCell ref="B635:B646"/>
    <mergeCell ref="C635:C646"/>
    <mergeCell ref="D635:D646"/>
    <mergeCell ref="A676:A687"/>
    <mergeCell ref="B676:B687"/>
    <mergeCell ref="C676:C687"/>
    <mergeCell ref="D676:D687"/>
    <mergeCell ref="A663:K663"/>
    <mergeCell ref="A664:A675"/>
    <mergeCell ref="B664:B675"/>
    <mergeCell ref="A648:K648"/>
    <mergeCell ref="M91:O91"/>
    <mergeCell ref="M259:O259"/>
    <mergeCell ref="D37:D40"/>
    <mergeCell ref="A492:K492"/>
    <mergeCell ref="A493:K493"/>
    <mergeCell ref="A466:A477"/>
    <mergeCell ref="K361:K372"/>
    <mergeCell ref="K373:K384"/>
    <mergeCell ref="A385:A391"/>
    <mergeCell ref="B385:B391"/>
    <mergeCell ref="C385:C391"/>
    <mergeCell ref="D373:D384"/>
    <mergeCell ref="A431:D431"/>
    <mergeCell ref="K392:K403"/>
    <mergeCell ref="D385:D391"/>
    <mergeCell ref="K385:K391"/>
    <mergeCell ref="C258:C264"/>
    <mergeCell ref="D258:D264"/>
    <mergeCell ref="A258:A264"/>
    <mergeCell ref="K351:K357"/>
    <mergeCell ref="C351:C357"/>
    <mergeCell ref="D351:D357"/>
    <mergeCell ref="A359:K359"/>
    <mergeCell ref="A48:K48"/>
    <mergeCell ref="K49:K57"/>
    <mergeCell ref="A56:A57"/>
    <mergeCell ref="A47:D47"/>
    <mergeCell ref="C29:C36"/>
    <mergeCell ref="A37:A40"/>
    <mergeCell ref="B37:B40"/>
    <mergeCell ref="A45:A46"/>
    <mergeCell ref="B45:B46"/>
    <mergeCell ref="C45:C46"/>
    <mergeCell ref="D45:D46"/>
    <mergeCell ref="A49:A55"/>
    <mergeCell ref="C37:C40"/>
    <mergeCell ref="A41:A44"/>
    <mergeCell ref="B41:B44"/>
    <mergeCell ref="C41:C44"/>
    <mergeCell ref="D41:D44"/>
    <mergeCell ref="B49:B55"/>
    <mergeCell ref="C49:C55"/>
    <mergeCell ref="D49:D55"/>
    <mergeCell ref="B56:B57"/>
    <mergeCell ref="C56:C57"/>
    <mergeCell ref="D56:D57"/>
    <mergeCell ref="A58:A69"/>
    <mergeCell ref="B58:B69"/>
    <mergeCell ref="C58:C69"/>
    <mergeCell ref="D58:D69"/>
    <mergeCell ref="K58:K69"/>
    <mergeCell ref="D240:D241"/>
    <mergeCell ref="K240:K241"/>
    <mergeCell ref="F188:J193"/>
    <mergeCell ref="K219:K221"/>
    <mergeCell ref="A207:D207"/>
    <mergeCell ref="A208:K208"/>
    <mergeCell ref="A209:K209"/>
    <mergeCell ref="K210:K218"/>
    <mergeCell ref="C210:C218"/>
    <mergeCell ref="D210:D218"/>
    <mergeCell ref="A219:A221"/>
    <mergeCell ref="B219:B221"/>
    <mergeCell ref="C219:C221"/>
    <mergeCell ref="D219:D221"/>
    <mergeCell ref="B195:B205"/>
    <mergeCell ref="A195:A205"/>
    <mergeCell ref="C195:C205"/>
    <mergeCell ref="D195:D205"/>
    <mergeCell ref="A210:A218"/>
    <mergeCell ref="K318:K327"/>
    <mergeCell ref="A341:A350"/>
    <mergeCell ref="B341:B350"/>
    <mergeCell ref="C341:C350"/>
    <mergeCell ref="D341:D350"/>
    <mergeCell ref="K341:K350"/>
    <mergeCell ref="B361:B372"/>
    <mergeCell ref="C361:C372"/>
    <mergeCell ref="D361:D372"/>
    <mergeCell ref="A404:A410"/>
    <mergeCell ref="B404:B410"/>
    <mergeCell ref="C404:C410"/>
    <mergeCell ref="D404:D410"/>
    <mergeCell ref="K404:K410"/>
    <mergeCell ref="A373:A384"/>
    <mergeCell ref="B373:B384"/>
    <mergeCell ref="C373:C384"/>
    <mergeCell ref="A361:A372"/>
    <mergeCell ref="A392:A403"/>
    <mergeCell ref="B392:B403"/>
    <mergeCell ref="K245:K246"/>
    <mergeCell ref="A863:K863"/>
    <mergeCell ref="B864:B875"/>
    <mergeCell ref="A864:A875"/>
    <mergeCell ref="E873:E875"/>
    <mergeCell ref="F873:F875"/>
    <mergeCell ref="G873:G875"/>
    <mergeCell ref="H873:H875"/>
    <mergeCell ref="I873:I875"/>
    <mergeCell ref="J873:J875"/>
    <mergeCell ref="A411:A420"/>
    <mergeCell ref="B411:B420"/>
    <mergeCell ref="C411:C420"/>
    <mergeCell ref="D411:D420"/>
    <mergeCell ref="K411:K420"/>
    <mergeCell ref="A445:A454"/>
    <mergeCell ref="A245:A246"/>
    <mergeCell ref="B245:B246"/>
    <mergeCell ref="C245:C246"/>
    <mergeCell ref="D245:D246"/>
    <mergeCell ref="A421:A430"/>
    <mergeCell ref="B421:B430"/>
    <mergeCell ref="C421:C430"/>
    <mergeCell ref="D421:D430"/>
    <mergeCell ref="A247:A248"/>
    <mergeCell ref="B247:B248"/>
    <mergeCell ref="C247:C248"/>
    <mergeCell ref="D247:D248"/>
    <mergeCell ref="K247:K248"/>
    <mergeCell ref="D735:D741"/>
    <mergeCell ref="B723:B734"/>
    <mergeCell ref="C723:C734"/>
    <mergeCell ref="D723:D734"/>
    <mergeCell ref="K723:K734"/>
    <mergeCell ref="A711:A722"/>
    <mergeCell ref="C566:C577"/>
    <mergeCell ref="D566:D577"/>
    <mergeCell ref="A564:K564"/>
    <mergeCell ref="A565:K565"/>
    <mergeCell ref="C549:C555"/>
    <mergeCell ref="D549:D555"/>
    <mergeCell ref="B549:B555"/>
    <mergeCell ref="A432:E432"/>
    <mergeCell ref="A433:A444"/>
    <mergeCell ref="B433:B444"/>
    <mergeCell ref="C433:C444"/>
    <mergeCell ref="D433:D444"/>
    <mergeCell ref="A478:D478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72" orientation="landscape" r:id="rId1"/>
  <headerFooter alignWithMargins="0"/>
  <rowBreaks count="45" manualBreakCount="45">
    <brk id="20" max="10" man="1"/>
    <brk id="44" max="10" man="1"/>
    <brk id="47" max="10" man="1"/>
    <brk id="80" max="10" man="1"/>
    <brk id="114" max="10" man="1"/>
    <brk id="124" max="10" man="1"/>
    <brk id="154" max="10" man="1"/>
    <brk id="166" max="10" man="1"/>
    <brk id="194" max="10" man="1"/>
    <brk id="207" max="10" man="1"/>
    <brk id="235" max="10" man="1"/>
    <brk id="239" max="10" man="1"/>
    <brk id="257" max="10" man="1"/>
    <brk id="292" max="10" man="1"/>
    <brk id="303" max="10" man="1"/>
    <brk id="327" max="10" man="1"/>
    <brk id="340" max="10" man="1"/>
    <brk id="358" max="10" man="1"/>
    <brk id="391" max="10" man="1"/>
    <brk id="410" max="10" man="1"/>
    <brk id="431" max="10" man="1"/>
    <brk id="455" max="10" man="1"/>
    <brk id="464" max="10" man="1"/>
    <brk id="478" max="10" man="1"/>
    <brk id="491" max="10" man="1"/>
    <brk id="529" max="10" man="1"/>
    <brk id="541" max="10" man="1"/>
    <brk id="563" max="10" man="1"/>
    <brk id="585" max="10" man="1"/>
    <brk id="595" max="10" man="1"/>
    <brk id="633" max="10" man="1"/>
    <brk id="647" max="10" man="1"/>
    <brk id="661" max="10" man="1"/>
    <brk id="695" max="10" man="1"/>
    <brk id="708" max="10" man="1"/>
    <brk id="749" max="10" man="1"/>
    <brk id="763" max="10" man="1"/>
    <brk id="798" max="10" man="1"/>
    <brk id="816" max="10" man="1"/>
    <brk id="862" max="10" man="1"/>
    <brk id="876" max="10" man="1"/>
    <brk id="916" max="10" man="1"/>
    <brk id="945" max="10" man="1"/>
    <brk id="970" max="10" man="1"/>
    <brk id="98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4" sqref="B4"/>
    </sheetView>
  </sheetViews>
  <sheetFormatPr defaultRowHeight="12.75" x14ac:dyDescent="0.2"/>
  <cols>
    <col min="2" max="2" width="11.7109375" bestFit="1" customWidth="1"/>
    <col min="3" max="3" width="10.140625" bestFit="1" customWidth="1"/>
    <col min="4" max="4" width="10.140625" customWidth="1"/>
  </cols>
  <sheetData>
    <row r="1" spans="1:4" x14ac:dyDescent="0.2">
      <c r="B1" t="s">
        <v>432</v>
      </c>
    </row>
    <row r="2" spans="1:4" x14ac:dyDescent="0.2">
      <c r="B2">
        <v>2019</v>
      </c>
      <c r="C2">
        <v>2020</v>
      </c>
      <c r="D2">
        <v>2021</v>
      </c>
    </row>
    <row r="3" spans="1:4" x14ac:dyDescent="0.2">
      <c r="A3" t="s">
        <v>433</v>
      </c>
      <c r="B3" s="229">
        <f>'сентябрь 2019'!H214+'сентябрь 2019'!H232+'сентябрь 2019'!H261+'сентябрь 2019'!H270+'сентябрь 2019'!H280+'сентябрь 2019'!H285+'сентябрь 2019'!H295+'сентябрь 2019'!H310+'сентябрь 2019'!H320+'сентябрь 2019'!H333+'сентябрь 2019'!H343+'сентябрь 2019'!H365+'сентябрь 2019'!H377+'сентябрь 2019'!H389+'сентябрь 2019'!H396+'сентябрь 2019'!H407+'сентябрь 2019'!H413+'сентябрь 2019'!H423+'сентябрь 2019'!H437+'сентябрь 2019'!H447+'сентябрь 2019'!H461+'сентябрь 2019'!H470+'сентябрь 2019'!H482+'сентябрь 2019'!H254</f>
        <v>769426</v>
      </c>
      <c r="C3" s="228">
        <f>'сентябрь 2019'!H215+'сентябрь 2019'!H233+'сентябрь 2019'!H262+'сентябрь 2019'!H271+'сентябрь 2019'!H281+'сентябрь 2019'!H286+'сентябрь 2019'!H296+'сентябрь 2019'!H311+'сентябрь 2019'!H321+'сентябрь 2019'!H334+'сентябрь 2019'!H344+'сентябрь 2019'!H356+'сентябрь 2019'!H366+'сентябрь 2019'!H378+'сентябрь 2019'!H390+'сентябрь 2019'!H397+'сентябрь 2019'!H408+'сентябрь 2019'!H414+'сентябрь 2019'!H424+'сентябрь 2019'!H438+'сентябрь 2019'!H448+'сентябрь 2019'!H462+'сентябрь 2019'!H471+'сентябрь 2019'!H483</f>
        <v>810255.8</v>
      </c>
      <c r="D3" s="229">
        <f>'сентябрь 2019'!H216+'сентябрь 2019'!H234+'сентябрь 2019'!H272+'сентябрь 2019'!H287+'сентябрь 2019'!H312+'сентябрь 2019'!H322+'сентябрь 2019'!H335+'сентябрь 2019'!H345+'сентябрь 2019'!H367+'сентябрь 2019'!H379+'сентябрь 2019'!H415+'сентябрь 2019'!H472</f>
        <v>857082.5</v>
      </c>
    </row>
    <row r="4" spans="1:4" x14ac:dyDescent="0.2">
      <c r="B4" s="229"/>
      <c r="C4" s="228"/>
      <c r="D4" s="228"/>
    </row>
    <row r="5" spans="1:4" x14ac:dyDescent="0.2">
      <c r="A5" t="s">
        <v>434</v>
      </c>
      <c r="B5" s="229">
        <f>'сентябрь 2019'!I482+'сентябрь 2019'!I470+'сентябрь 2019'!I461+'сентябрь 2019'!I447+'сентябрь 2019'!I437+'сентябрь 2019'!I423+'сентябрь 2019'!I413+'сентябрь 2019'!I407+'сентябрь 2019'!I396+'сентябрь 2019'!I389+'сентябрь 2019'!I377+'сентябрь 2019'!I365+'сентябрь 2019'!I355+'сентябрь 2019'!I343+'сентябрь 2019'!I333+'сентябрь 2019'!I320+'сентябрь 2019'!I310+'сентябрь 2019'!I295+'сентябрь 2019'!I285+'сентябрь 2019'!I280+'сентябрь 2019'!I270+'сентябрь 2019'!I261+'сентябрь 2019'!I254+'сентябрь 2019'!I232+'сентябрь 2019'!I214</f>
        <v>132589.69999999998</v>
      </c>
      <c r="C5" s="228">
        <f>'сентябрь 2019'!I483+'сентябрь 2019'!I471+'сентябрь 2019'!I462+'сентябрь 2019'!I448+'сентябрь 2019'!I438+'сентябрь 2019'!I424+'сентябрь 2019'!I414+'сентябрь 2019'!I408+'сентябрь 2019'!I397+'сентябрь 2019'!I390+'сентябрь 2019'!I378+'сентябрь 2019'!I366+'сентябрь 2019'!I356+'сентябрь 2019'!I344+'сентябрь 2019'!I334+'сентябрь 2019'!I321+'сентябрь 2019'!I311+'сентябрь 2019'!I296+'сентябрь 2019'!I286+'сентябрь 2019'!I281+'сентябрь 2019'!I271+'сентябрь 2019'!I262+'сентябрь 2019'!I233+'сентябрь 2019'!I215</f>
        <v>42571.8</v>
      </c>
      <c r="D5" s="229">
        <f>'сентябрь 2019'!I484+'сентябрь 2019'!I472+'сентябрь 2019'!I449+'сентябрь 2019'!I439+'сентябрь 2019'!I425+'сентябрь 2019'!I415+'сентябрь 2019'!I409+'сентябрь 2019'!I398+'сентябрь 2019'!I379+'сентябрь 2019'!I367+'сентябрь 2019'!I345+'сентябрь 2019'!I335+'сентябрь 2019'!I322+'сентябрь 2019'!I312+'сентябрь 2019'!I297+'сентябрь 2019'!I287+'сентябрь 2019'!I272+'сентябрь 2019'!I263+'сентябрь 2019'!I256+'сентябрь 2019'!I234+'сентябрь 2019'!I216</f>
        <v>18507.800000000003</v>
      </c>
    </row>
    <row r="6" spans="1:4" x14ac:dyDescent="0.2">
      <c r="B6" s="229"/>
      <c r="C6" s="228"/>
      <c r="D6" s="228"/>
    </row>
    <row r="7" spans="1:4" x14ac:dyDescent="0.2">
      <c r="A7" t="s">
        <v>435</v>
      </c>
      <c r="B7" s="228">
        <f>SUM(B3:B5)</f>
        <v>902015.7</v>
      </c>
      <c r="C7" s="228">
        <f>SUM(C3:C5)</f>
        <v>852827.60000000009</v>
      </c>
      <c r="D7" s="228">
        <f>SUM(D3:D5)</f>
        <v>875590.3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сентябрь 2019</vt:lpstr>
      <vt:lpstr>Лист1</vt:lpstr>
      <vt:lpstr>'сентябрь 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2019-04-21T23:28:19Z</cp:lastPrinted>
  <dcterms:created xsi:type="dcterms:W3CDTF">1996-10-08T23:32:33Z</dcterms:created>
  <dcterms:modified xsi:type="dcterms:W3CDTF">2019-09-20T02:40:54Z</dcterms:modified>
</cp:coreProperties>
</file>