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0" yWindow="0" windowWidth="20490" windowHeight="7155"/>
  </bookViews>
  <sheets>
    <sheet name="август 2018г" sheetId="1" r:id="rId1"/>
  </sheets>
  <definedNames>
    <definedName name="_xlnm.Print_Area" localSheetId="0">'август 2018г'!$A$1:$K$759</definedName>
  </definedNames>
  <calcPr calcId="152511"/>
</workbook>
</file>

<file path=xl/calcChain.xml><?xml version="1.0" encoding="utf-8"?>
<calcChain xmlns="http://schemas.openxmlformats.org/spreadsheetml/2006/main">
  <c r="I594" i="1"/>
  <c r="I563"/>
  <c r="F279" l="1"/>
  <c r="H279"/>
  <c r="I279"/>
  <c r="H758" l="1"/>
  <c r="I756"/>
  <c r="H756"/>
  <c r="I288"/>
  <c r="I236"/>
  <c r="H236"/>
  <c r="F235"/>
  <c r="F236" s="1"/>
  <c r="H232"/>
  <c r="I232"/>
  <c r="F231"/>
  <c r="H227"/>
  <c r="I227"/>
  <c r="F226"/>
  <c r="G49"/>
  <c r="H49"/>
  <c r="I49"/>
  <c r="F48"/>
  <c r="H258"/>
  <c r="F191" l="1"/>
  <c r="I758"/>
  <c r="F678"/>
  <c r="F677"/>
  <c r="F447"/>
  <c r="F97"/>
  <c r="I52"/>
  <c r="F51"/>
  <c r="I269" l="1"/>
  <c r="I744" l="1"/>
  <c r="I737"/>
  <c r="I730"/>
  <c r="I627" l="1"/>
  <c r="I569"/>
  <c r="I562"/>
  <c r="I552"/>
  <c r="H552"/>
  <c r="H538"/>
  <c r="H531"/>
  <c r="H519"/>
  <c r="I431"/>
  <c r="I409"/>
  <c r="H351"/>
  <c r="I340"/>
  <c r="H319"/>
  <c r="H297"/>
  <c r="H289"/>
  <c r="H284"/>
  <c r="I264"/>
  <c r="H264"/>
  <c r="I259"/>
  <c r="I254"/>
  <c r="I246"/>
  <c r="I219"/>
  <c r="I213"/>
  <c r="H188"/>
  <c r="I154"/>
  <c r="H147"/>
  <c r="H78"/>
  <c r="I73"/>
  <c r="H50"/>
  <c r="H52" s="1"/>
  <c r="H53"/>
  <c r="H54" s="1"/>
  <c r="I54"/>
  <c r="G54"/>
  <c r="F53" l="1"/>
  <c r="F54" s="1"/>
  <c r="H683"/>
  <c r="J704" l="1"/>
  <c r="J697"/>
  <c r="J690"/>
  <c r="J751" l="1"/>
  <c r="H674"/>
  <c r="H622"/>
  <c r="H605"/>
  <c r="H588"/>
  <c r="H476"/>
  <c r="H375"/>
  <c r="I314"/>
  <c r="I228" l="1"/>
  <c r="H228"/>
  <c r="I225"/>
  <c r="H225"/>
  <c r="F240"/>
  <c r="F409" l="1"/>
  <c r="I234"/>
  <c r="H234"/>
  <c r="F233"/>
  <c r="F234" s="1"/>
  <c r="P552"/>
  <c r="S552" s="1"/>
  <c r="I680"/>
  <c r="I683" s="1"/>
  <c r="F676"/>
  <c r="F680" s="1"/>
  <c r="F683" s="1"/>
  <c r="I379"/>
  <c r="O552" l="1"/>
  <c r="F230" l="1"/>
  <c r="F232" s="1"/>
  <c r="I749" l="1"/>
  <c r="H749"/>
  <c r="J748"/>
  <c r="I748"/>
  <c r="H748"/>
  <c r="F747"/>
  <c r="F746"/>
  <c r="F745"/>
  <c r="F744"/>
  <c r="I742"/>
  <c r="H742"/>
  <c r="I735"/>
  <c r="H735"/>
  <c r="J741"/>
  <c r="I741"/>
  <c r="H741"/>
  <c r="F740"/>
  <c r="F739"/>
  <c r="F738"/>
  <c r="F737"/>
  <c r="H734"/>
  <c r="F733"/>
  <c r="F732"/>
  <c r="J734"/>
  <c r="F730"/>
  <c r="F520"/>
  <c r="F522"/>
  <c r="I521"/>
  <c r="I523" s="1"/>
  <c r="I360"/>
  <c r="H360"/>
  <c r="F359"/>
  <c r="F358"/>
  <c r="F357"/>
  <c r="F356"/>
  <c r="I278"/>
  <c r="F277"/>
  <c r="F276"/>
  <c r="F275"/>
  <c r="F274"/>
  <c r="I273"/>
  <c r="F272"/>
  <c r="F271"/>
  <c r="F270"/>
  <c r="F269"/>
  <c r="H751" l="1"/>
  <c r="F742"/>
  <c r="I751"/>
  <c r="F748"/>
  <c r="F741"/>
  <c r="F749"/>
  <c r="F731"/>
  <c r="I734"/>
  <c r="F519"/>
  <c r="H523"/>
  <c r="I524"/>
  <c r="H524"/>
  <c r="F521"/>
  <c r="F360"/>
  <c r="F273"/>
  <c r="F278"/>
  <c r="F734" l="1"/>
  <c r="F735"/>
  <c r="F751" s="1"/>
  <c r="F524"/>
  <c r="F523"/>
  <c r="I450"/>
  <c r="F450" s="1"/>
  <c r="F449"/>
  <c r="F373"/>
  <c r="I374"/>
  <c r="F372"/>
  <c r="F371"/>
  <c r="F370"/>
  <c r="H355"/>
  <c r="I355"/>
  <c r="F354"/>
  <c r="F353"/>
  <c r="F352"/>
  <c r="F351"/>
  <c r="F305"/>
  <c r="F304"/>
  <c r="H306"/>
  <c r="F302"/>
  <c r="F292"/>
  <c r="F291"/>
  <c r="H293"/>
  <c r="F289"/>
  <c r="H268"/>
  <c r="I268"/>
  <c r="F267"/>
  <c r="F266"/>
  <c r="F265"/>
  <c r="F264"/>
  <c r="F262"/>
  <c r="F261"/>
  <c r="F260"/>
  <c r="I263"/>
  <c r="H82"/>
  <c r="F81"/>
  <c r="F80"/>
  <c r="F79"/>
  <c r="F78"/>
  <c r="G52"/>
  <c r="F374" l="1"/>
  <c r="F355"/>
  <c r="F303"/>
  <c r="F306" s="1"/>
  <c r="F290"/>
  <c r="F293" s="1"/>
  <c r="F268"/>
  <c r="F259"/>
  <c r="F263" s="1"/>
  <c r="F82"/>
  <c r="F50"/>
  <c r="F52" s="1"/>
  <c r="I229"/>
  <c r="H229"/>
  <c r="F228"/>
  <c r="F229" s="1"/>
  <c r="J689" l="1"/>
  <c r="I689"/>
  <c r="I592" l="1"/>
  <c r="H551"/>
  <c r="I462"/>
  <c r="I494"/>
  <c r="I470"/>
  <c r="I455"/>
  <c r="I408"/>
  <c r="I378"/>
  <c r="I364"/>
  <c r="I218"/>
  <c r="I153"/>
  <c r="I72"/>
  <c r="I253" l="1"/>
  <c r="F346" l="1"/>
  <c r="F347"/>
  <c r="F348"/>
  <c r="F349"/>
  <c r="I350"/>
  <c r="I554" l="1"/>
  <c r="I553"/>
  <c r="H514"/>
  <c r="H513"/>
  <c r="F433"/>
  <c r="F411"/>
  <c r="F328"/>
  <c r="H239"/>
  <c r="H220"/>
  <c r="H221"/>
  <c r="I221"/>
  <c r="I220"/>
  <c r="I201"/>
  <c r="H201"/>
  <c r="H757" s="1"/>
  <c r="I113"/>
  <c r="I112"/>
  <c r="I105"/>
  <c r="H87"/>
  <c r="I87"/>
  <c r="I755" s="1"/>
  <c r="I42"/>
  <c r="H42"/>
  <c r="I46"/>
  <c r="H46"/>
  <c r="F446"/>
  <c r="F248"/>
  <c r="F190"/>
  <c r="F96"/>
  <c r="H387"/>
  <c r="F445"/>
  <c r="F247"/>
  <c r="F189"/>
  <c r="F188"/>
  <c r="I551"/>
  <c r="F95"/>
  <c r="H530"/>
  <c r="H537"/>
  <c r="F444"/>
  <c r="H318"/>
  <c r="H283"/>
  <c r="F246"/>
  <c r="H146"/>
  <c r="F94"/>
  <c r="I757" l="1"/>
  <c r="H755"/>
  <c r="I544"/>
  <c r="I239"/>
  <c r="I501"/>
  <c r="I480"/>
  <c r="I339" l="1"/>
  <c r="I344" s="1"/>
  <c r="F345"/>
  <c r="F350" s="1"/>
  <c r="I245" l="1"/>
  <c r="I205"/>
  <c r="I93" l="1"/>
  <c r="I98" s="1"/>
  <c r="J703" l="1"/>
  <c r="J696"/>
  <c r="H296"/>
  <c r="H187"/>
  <c r="H145"/>
  <c r="F47"/>
  <c r="F46"/>
  <c r="F49" s="1"/>
  <c r="F224" l="1"/>
  <c r="F225"/>
  <c r="F227" l="1"/>
  <c r="I710"/>
  <c r="I703"/>
  <c r="I696"/>
  <c r="H325" l="1"/>
  <c r="H754" s="1"/>
  <c r="F219"/>
  <c r="I754" l="1"/>
  <c r="J758"/>
  <c r="J757"/>
  <c r="J756"/>
  <c r="J755"/>
  <c r="J754"/>
  <c r="J753"/>
  <c r="J759" l="1"/>
  <c r="F214"/>
  <c r="F377" l="1"/>
  <c r="F378"/>
  <c r="F379"/>
  <c r="F380"/>
  <c r="F381"/>
  <c r="F382"/>
  <c r="I383"/>
  <c r="I384" s="1"/>
  <c r="H383"/>
  <c r="H384" s="1"/>
  <c r="I407"/>
  <c r="I413" s="1"/>
  <c r="I429"/>
  <c r="I435" s="1"/>
  <c r="I442"/>
  <c r="I448"/>
  <c r="F448" s="1"/>
  <c r="I337"/>
  <c r="I361" s="1"/>
  <c r="F707"/>
  <c r="I16"/>
  <c r="I71"/>
  <c r="F71" s="1"/>
  <c r="I152"/>
  <c r="F152" s="1"/>
  <c r="I204"/>
  <c r="I210" s="1"/>
  <c r="I217"/>
  <c r="I252"/>
  <c r="F252" s="1"/>
  <c r="I510"/>
  <c r="I517" s="1"/>
  <c r="I702"/>
  <c r="I708" s="1"/>
  <c r="I485"/>
  <c r="I492"/>
  <c r="I499"/>
  <c r="I506"/>
  <c r="I460"/>
  <c r="I475"/>
  <c r="I467"/>
  <c r="F757"/>
  <c r="F756"/>
  <c r="F755"/>
  <c r="H550"/>
  <c r="H556" s="1"/>
  <c r="H536"/>
  <c r="H542" s="1"/>
  <c r="H529"/>
  <c r="H535" s="1"/>
  <c r="H510"/>
  <c r="H517" s="1"/>
  <c r="H324"/>
  <c r="F324" s="1"/>
  <c r="H317"/>
  <c r="H323" s="1"/>
  <c r="H295"/>
  <c r="H301" s="1"/>
  <c r="H282"/>
  <c r="H288" s="1"/>
  <c r="H211"/>
  <c r="H215" s="1"/>
  <c r="H204"/>
  <c r="H210" s="1"/>
  <c r="H151"/>
  <c r="H23"/>
  <c r="H29" s="1"/>
  <c r="H16"/>
  <c r="H22" s="1"/>
  <c r="F212"/>
  <c r="F213"/>
  <c r="F331"/>
  <c r="F332"/>
  <c r="F333"/>
  <c r="F334"/>
  <c r="F335"/>
  <c r="F336"/>
  <c r="F325"/>
  <c r="F326"/>
  <c r="F327"/>
  <c r="F329"/>
  <c r="F318"/>
  <c r="F319"/>
  <c r="F320"/>
  <c r="F321"/>
  <c r="F322"/>
  <c r="F338"/>
  <c r="F339"/>
  <c r="F340"/>
  <c r="F341"/>
  <c r="F342"/>
  <c r="F343"/>
  <c r="H337"/>
  <c r="H344"/>
  <c r="F466"/>
  <c r="F465"/>
  <c r="F464"/>
  <c r="F463"/>
  <c r="F462"/>
  <c r="F461"/>
  <c r="G451"/>
  <c r="H413"/>
  <c r="H442"/>
  <c r="J421"/>
  <c r="J428"/>
  <c r="F443"/>
  <c r="H244"/>
  <c r="H223"/>
  <c r="H203"/>
  <c r="F245"/>
  <c r="F250" s="1"/>
  <c r="I250"/>
  <c r="F146"/>
  <c r="F147"/>
  <c r="F148"/>
  <c r="F149"/>
  <c r="F150"/>
  <c r="F153"/>
  <c r="F154"/>
  <c r="F155"/>
  <c r="F156"/>
  <c r="F157"/>
  <c r="F187"/>
  <c r="F192" s="1"/>
  <c r="H192"/>
  <c r="H91"/>
  <c r="H99" s="1"/>
  <c r="H63"/>
  <c r="H83" s="1"/>
  <c r="F387"/>
  <c r="I91"/>
  <c r="F93"/>
  <c r="H98"/>
  <c r="J715"/>
  <c r="J708"/>
  <c r="J701"/>
  <c r="J694"/>
  <c r="I724"/>
  <c r="I725" s="1"/>
  <c r="I715"/>
  <c r="I701"/>
  <c r="I694"/>
  <c r="H725"/>
  <c r="H715"/>
  <c r="H708"/>
  <c r="H701"/>
  <c r="H694"/>
  <c r="F718"/>
  <c r="F719"/>
  <c r="F720"/>
  <c r="F721"/>
  <c r="F722"/>
  <c r="F723"/>
  <c r="F709"/>
  <c r="F710"/>
  <c r="F711"/>
  <c r="F712"/>
  <c r="F713"/>
  <c r="F714"/>
  <c r="F703"/>
  <c r="F704"/>
  <c r="F705"/>
  <c r="F706"/>
  <c r="F695"/>
  <c r="F696"/>
  <c r="F697"/>
  <c r="F698"/>
  <c r="F699"/>
  <c r="F700"/>
  <c r="F688"/>
  <c r="F689"/>
  <c r="F690"/>
  <c r="F691"/>
  <c r="F692"/>
  <c r="F693"/>
  <c r="I666"/>
  <c r="I659"/>
  <c r="I652"/>
  <c r="I645"/>
  <c r="I638"/>
  <c r="I631"/>
  <c r="I621"/>
  <c r="I614"/>
  <c r="I597"/>
  <c r="I605" s="1"/>
  <c r="I566"/>
  <c r="I573"/>
  <c r="I549"/>
  <c r="I556"/>
  <c r="F660"/>
  <c r="F661"/>
  <c r="F662"/>
  <c r="F663"/>
  <c r="F664"/>
  <c r="F665"/>
  <c r="F653"/>
  <c r="F654"/>
  <c r="F655"/>
  <c r="F656"/>
  <c r="F657"/>
  <c r="F658"/>
  <c r="F646"/>
  <c r="F647"/>
  <c r="F648"/>
  <c r="F649"/>
  <c r="F650"/>
  <c r="F651"/>
  <c r="F639"/>
  <c r="F640"/>
  <c r="F641"/>
  <c r="F642"/>
  <c r="F643"/>
  <c r="F644"/>
  <c r="F632"/>
  <c r="F633"/>
  <c r="F634"/>
  <c r="F635"/>
  <c r="F636"/>
  <c r="F637"/>
  <c r="F625"/>
  <c r="F626"/>
  <c r="F627"/>
  <c r="F628"/>
  <c r="F629"/>
  <c r="F630"/>
  <c r="F615"/>
  <c r="F616"/>
  <c r="F617"/>
  <c r="F618"/>
  <c r="F619"/>
  <c r="F620"/>
  <c r="F608"/>
  <c r="F609"/>
  <c r="F610"/>
  <c r="F611"/>
  <c r="F612"/>
  <c r="F613"/>
  <c r="F591"/>
  <c r="F592"/>
  <c r="F593"/>
  <c r="F594"/>
  <c r="F595"/>
  <c r="F596"/>
  <c r="F560"/>
  <c r="F561"/>
  <c r="F562"/>
  <c r="F563"/>
  <c r="F564"/>
  <c r="F565"/>
  <c r="F567"/>
  <c r="F568"/>
  <c r="F569"/>
  <c r="F570"/>
  <c r="F571"/>
  <c r="F572"/>
  <c r="G557"/>
  <c r="F530"/>
  <c r="F531"/>
  <c r="F532"/>
  <c r="F533"/>
  <c r="F534"/>
  <c r="F537"/>
  <c r="F538"/>
  <c r="F539"/>
  <c r="F540"/>
  <c r="F541"/>
  <c r="F543"/>
  <c r="F544"/>
  <c r="F545"/>
  <c r="F546"/>
  <c r="F547"/>
  <c r="F548"/>
  <c r="F551"/>
  <c r="F552"/>
  <c r="F553"/>
  <c r="F554"/>
  <c r="F555"/>
  <c r="H507"/>
  <c r="F511"/>
  <c r="F512"/>
  <c r="F513"/>
  <c r="F514"/>
  <c r="F515"/>
  <c r="F479"/>
  <c r="F480"/>
  <c r="F481"/>
  <c r="F482"/>
  <c r="F483"/>
  <c r="F484"/>
  <c r="F486"/>
  <c r="F487"/>
  <c r="F488"/>
  <c r="F489"/>
  <c r="F490"/>
  <c r="F491"/>
  <c r="F493"/>
  <c r="F494"/>
  <c r="F495"/>
  <c r="F496"/>
  <c r="F497"/>
  <c r="F498"/>
  <c r="F500"/>
  <c r="F501"/>
  <c r="F502"/>
  <c r="F503"/>
  <c r="F504"/>
  <c r="F505"/>
  <c r="F454"/>
  <c r="F455"/>
  <c r="F456"/>
  <c r="F457"/>
  <c r="F458"/>
  <c r="F459"/>
  <c r="F469"/>
  <c r="F470"/>
  <c r="F471"/>
  <c r="F472"/>
  <c r="F473"/>
  <c r="F474"/>
  <c r="F436"/>
  <c r="F442" s="1"/>
  <c r="F430"/>
  <c r="F431"/>
  <c r="F432"/>
  <c r="F434"/>
  <c r="F425"/>
  <c r="F426"/>
  <c r="F427"/>
  <c r="F418"/>
  <c r="F419"/>
  <c r="F420"/>
  <c r="F408"/>
  <c r="F410"/>
  <c r="F412"/>
  <c r="I369"/>
  <c r="I375" s="1"/>
  <c r="I244"/>
  <c r="I203"/>
  <c r="H392"/>
  <c r="H393" s="1"/>
  <c r="F386"/>
  <c r="F388"/>
  <c r="F389"/>
  <c r="F390"/>
  <c r="F391"/>
  <c r="F363"/>
  <c r="F364"/>
  <c r="F365"/>
  <c r="F366"/>
  <c r="F367"/>
  <c r="F368"/>
  <c r="F283"/>
  <c r="F284"/>
  <c r="F285"/>
  <c r="F286"/>
  <c r="F287"/>
  <c r="F296"/>
  <c r="F297"/>
  <c r="F298"/>
  <c r="F299"/>
  <c r="F300"/>
  <c r="F253"/>
  <c r="F254"/>
  <c r="F255"/>
  <c r="F256"/>
  <c r="F257"/>
  <c r="F238"/>
  <c r="F239"/>
  <c r="F217"/>
  <c r="F218"/>
  <c r="F220"/>
  <c r="F221"/>
  <c r="F205"/>
  <c r="F201"/>
  <c r="F202"/>
  <c r="I211"/>
  <c r="I215" s="1"/>
  <c r="G203"/>
  <c r="I115"/>
  <c r="I107"/>
  <c r="F107" s="1"/>
  <c r="I63"/>
  <c r="I70"/>
  <c r="I22"/>
  <c r="I29"/>
  <c r="F109"/>
  <c r="F110"/>
  <c r="F111"/>
  <c r="F112"/>
  <c r="F113"/>
  <c r="F114"/>
  <c r="F106"/>
  <c r="F104"/>
  <c r="F103"/>
  <c r="F102"/>
  <c r="F101"/>
  <c r="F87"/>
  <c r="F85"/>
  <c r="F57"/>
  <c r="F63" s="1"/>
  <c r="F64"/>
  <c r="F70" s="1"/>
  <c r="F72"/>
  <c r="F73"/>
  <c r="F74"/>
  <c r="F75"/>
  <c r="F76"/>
  <c r="G45"/>
  <c r="G55" s="1"/>
  <c r="F39"/>
  <c r="F40"/>
  <c r="F41"/>
  <c r="F42"/>
  <c r="F43"/>
  <c r="F44"/>
  <c r="I45"/>
  <c r="I55" s="1"/>
  <c r="H45"/>
  <c r="H55" s="1"/>
  <c r="J30"/>
  <c r="G22"/>
  <c r="G29"/>
  <c r="F203" l="1"/>
  <c r="H314"/>
  <c r="F258"/>
  <c r="I588"/>
  <c r="I674"/>
  <c r="F674" s="1"/>
  <c r="I451"/>
  <c r="I557"/>
  <c r="H451"/>
  <c r="H526" s="1"/>
  <c r="H193"/>
  <c r="H557"/>
  <c r="H685" s="1"/>
  <c r="I476"/>
  <c r="I507"/>
  <c r="F16"/>
  <c r="F22" s="1"/>
  <c r="I223"/>
  <c r="F222"/>
  <c r="F223" s="1"/>
  <c r="I516"/>
  <c r="F550"/>
  <c r="F556" s="1"/>
  <c r="G395"/>
  <c r="F282"/>
  <c r="F288" s="1"/>
  <c r="I77"/>
  <c r="I83" s="1"/>
  <c r="I258"/>
  <c r="F23"/>
  <c r="F29" s="1"/>
  <c r="H516"/>
  <c r="F429"/>
  <c r="F435" s="1"/>
  <c r="F529"/>
  <c r="F535" s="1"/>
  <c r="F244"/>
  <c r="F407"/>
  <c r="F413" s="1"/>
  <c r="F659"/>
  <c r="F428"/>
  <c r="H330"/>
  <c r="H361" s="1"/>
  <c r="I622"/>
  <c r="F622" s="1"/>
  <c r="F758"/>
  <c r="J451"/>
  <c r="J526" s="1"/>
  <c r="F330"/>
  <c r="F702"/>
  <c r="F708" s="1"/>
  <c r="F337"/>
  <c r="H753"/>
  <c r="H759" s="1"/>
  <c r="I753"/>
  <c r="I30"/>
  <c r="F421"/>
  <c r="I158"/>
  <c r="I193" s="1"/>
  <c r="H30"/>
  <c r="H116" s="1"/>
  <c r="F510"/>
  <c r="F516" s="1"/>
  <c r="F392"/>
  <c r="F393" s="1"/>
  <c r="F638"/>
  <c r="F715"/>
  <c r="F91"/>
  <c r="F295"/>
  <c r="F301" s="1"/>
  <c r="F499"/>
  <c r="F573"/>
  <c r="F597"/>
  <c r="F605" s="1"/>
  <c r="F631"/>
  <c r="F724"/>
  <c r="F725" s="1"/>
  <c r="H716"/>
  <c r="H727" s="1"/>
  <c r="I99"/>
  <c r="F99" s="1"/>
  <c r="F204"/>
  <c r="F210" s="1"/>
  <c r="G30"/>
  <c r="F369"/>
  <c r="F375" s="1"/>
  <c r="F475"/>
  <c r="F460"/>
  <c r="F549"/>
  <c r="F621"/>
  <c r="F652"/>
  <c r="F145"/>
  <c r="F151" s="1"/>
  <c r="F506"/>
  <c r="F492"/>
  <c r="F536"/>
  <c r="F542" s="1"/>
  <c r="F566"/>
  <c r="F614"/>
  <c r="F701"/>
  <c r="F485"/>
  <c r="F45"/>
  <c r="F55" s="1"/>
  <c r="F645"/>
  <c r="F666"/>
  <c r="J716"/>
  <c r="J727" s="1"/>
  <c r="F98"/>
  <c r="F467"/>
  <c r="F344"/>
  <c r="F383"/>
  <c r="F384" s="1"/>
  <c r="I716"/>
  <c r="I727" s="1"/>
  <c r="F694"/>
  <c r="F754"/>
  <c r="F77"/>
  <c r="F83" s="1"/>
  <c r="F115"/>
  <c r="F158"/>
  <c r="F317"/>
  <c r="F323" s="1"/>
  <c r="F211"/>
  <c r="F215" s="1"/>
  <c r="H395" l="1"/>
  <c r="F361"/>
  <c r="I395"/>
  <c r="I526"/>
  <c r="F526" s="1"/>
  <c r="I685"/>
  <c r="F685" s="1"/>
  <c r="I116"/>
  <c r="F116" s="1"/>
  <c r="F314"/>
  <c r="F30"/>
  <c r="I759"/>
  <c r="F476"/>
  <c r="F517"/>
  <c r="F557"/>
  <c r="H194"/>
  <c r="F507"/>
  <c r="F193"/>
  <c r="F451"/>
  <c r="F716"/>
  <c r="F727" s="1"/>
  <c r="F588"/>
  <c r="F753"/>
  <c r="F759" s="1"/>
  <c r="I194" l="1"/>
  <c r="F194" s="1"/>
  <c r="F395"/>
</calcChain>
</file>

<file path=xl/sharedStrings.xml><?xml version="1.0" encoding="utf-8"?>
<sst xmlns="http://schemas.openxmlformats.org/spreadsheetml/2006/main" count="840" uniqueCount="415">
  <si>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</si>
  <si>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</si>
  <si>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</si>
  <si>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</si>
  <si>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</si>
  <si>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</si>
  <si>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</si>
  <si>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</si>
  <si>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</si>
  <si>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</si>
  <si>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</si>
  <si>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</si>
  <si>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</si>
  <si>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</si>
  <si>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</si>
  <si>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</si>
  <si>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</si>
  <si>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</si>
  <si>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</si>
  <si>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</si>
  <si>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</si>
  <si>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ИТОГО по п. 1.2.</t>
  </si>
  <si>
    <t>1.3. Обеспечение функционирования дошкольных образовательных организаций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</si>
  <si>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</si>
  <si>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</si>
  <si>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</si>
  <si>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</si>
  <si>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</si>
  <si>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</si>
  <si>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</si>
  <si>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</si>
  <si>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</si>
  <si>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Приобретение оборудования для организации обучения детей – инвалидов в дошкольных образовательных организациях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</si>
  <si>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</si>
  <si>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</si>
  <si>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</si>
  <si>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</si>
  <si>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</si>
  <si>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</si>
  <si>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</si>
  <si>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</si>
  <si>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</si>
  <si>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</si>
  <si>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</si>
  <si>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</si>
  <si>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</si>
  <si>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</si>
  <si>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</si>
  <si>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</si>
  <si>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</si>
  <si>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</si>
  <si>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</si>
  <si>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</si>
  <si>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</si>
  <si>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</si>
  <si>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</si>
  <si>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</si>
  <si>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</si>
  <si>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</si>
  <si>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</si>
  <si>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</si>
  <si>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</si>
  <si>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</si>
  <si>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</si>
  <si>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</si>
  <si>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</si>
  <si>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</si>
  <si>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</si>
  <si>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</si>
  <si>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</si>
  <si>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</si>
  <si>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</si>
  <si>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</si>
  <si>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</si>
  <si>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</si>
  <si>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</si>
  <si>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</si>
  <si>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</si>
  <si>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</si>
  <si>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</si>
  <si>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</si>
  <si>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</si>
  <si>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</si>
  <si>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</si>
  <si>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5.1.Проведение мероприятий по формированию положительного имиджа педагога в обществе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</si>
  <si>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</si>
  <si>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</si>
  <si>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</si>
  <si>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</si>
  <si>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Заочное обучение и целевая подготовка специалистов</t>
  </si>
  <si>
    <t>Аттестация педагогический работников муниципальных образовательных организаций</t>
  </si>
  <si>
    <t>Переход на конкурсную основу  отбора руководителей образовательных организаций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</si>
  <si>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</si>
  <si>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</si>
  <si>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</si>
  <si>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</si>
  <si>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</si>
  <si>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</si>
  <si>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</si>
  <si>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</si>
  <si>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Участие педагогов в областных  конференциях, педагогических чтениях, круглых столах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</si>
  <si>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</si>
  <si>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</si>
  <si>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</si>
  <si>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</si>
  <si>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</si>
  <si>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</si>
  <si>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</si>
  <si>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</si>
  <si>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</si>
  <si>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</si>
  <si>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</si>
  <si>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</si>
  <si>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</si>
  <si>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</si>
  <si>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</si>
  <si>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</si>
  <si>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</si>
  <si>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 xml:space="preserve"> «Холмский городской округ» на 2015-2020 годы»</t>
  </si>
  <si>
    <t>1.3.1.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</si>
  <si>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</si>
  <si>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</si>
  <si>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1.2. Капитальный ремонт зданий функционирующих общеобразовательных организаций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</si>
  <si>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</si>
  <si>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</si>
  <si>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</si>
  <si>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</si>
  <si>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</si>
  <si>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</si>
  <si>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</si>
  <si>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</si>
  <si>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</si>
  <si>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</si>
  <si>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</si>
  <si>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</si>
  <si>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ограждений)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</si>
  <si>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</si>
  <si>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</si>
  <si>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</si>
  <si>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Установка систем видеонаблюдения, кнопок экстренного вызова полиции позволит обеспечить антитеррористическую безопасность в дошкольных образовательных организациях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</si>
  <si>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</si>
  <si>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</si>
  <si>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Обеспечение доступности общего образования. Создание к 2020 году 400 мест для школьников.</t>
  </si>
  <si>
    <t>Ввод в эксплуатацию в 2016 году объекта строительства, открытие нового спортивного зала</t>
  </si>
  <si>
    <t>2019 -2020</t>
  </si>
  <si>
    <t>2017 -2018</t>
  </si>
  <si>
    <t>Комфортные и безопасные условия обучения и воспитания в общеобразовательных учреждениях</t>
  </si>
  <si>
    <t>Мероприятия по антитеррористической безопасности образовательных учреждений (оборудование системами видеонаблюдения, установка и ремонт ограждений и наружного освещения территорий)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</si>
  <si>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</si>
  <si>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</si>
  <si>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</si>
  <si>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</si>
  <si>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</si>
  <si>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</si>
  <si>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</si>
  <si>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</si>
  <si>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</si>
  <si>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</si>
  <si>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</si>
  <si>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</si>
  <si>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</si>
  <si>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</si>
  <si>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</si>
  <si>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</si>
  <si>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</si>
  <si>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</si>
  <si>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</si>
  <si>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</si>
  <si>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</si>
  <si>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</si>
  <si>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</si>
  <si>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</si>
  <si>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</si>
  <si>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</si>
  <si>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</si>
  <si>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</si>
  <si>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</si>
  <si>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</si>
  <si>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</si>
  <si>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</si>
  <si>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</si>
  <si>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</si>
  <si>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</si>
  <si>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</si>
  <si>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</si>
  <si>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</si>
  <si>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</si>
  <si>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</si>
  <si>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</si>
  <si>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</si>
  <si>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</si>
  <si>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</si>
  <si>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</si>
  <si>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</si>
  <si>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</si>
  <si>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</si>
  <si>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</si>
  <si>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</si>
  <si>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</si>
  <si>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</si>
  <si>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</si>
  <si>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</si>
  <si>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</si>
  <si>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</si>
  <si>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</si>
  <si>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</si>
  <si>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</si>
  <si>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</si>
  <si>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</si>
  <si>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</si>
  <si>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</si>
  <si>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</si>
  <si>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</si>
  <si>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</si>
  <si>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</si>
  <si>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</si>
  <si>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</si>
  <si>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2016-2020</t>
  </si>
  <si>
    <t>Управление образования администрации МО «Холмский городской округ»</t>
  </si>
  <si>
    <t>Строительство новой школы в 7-ом микрорайоне на 400 мест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</si>
  <si>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</si>
  <si>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</si>
  <si>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</si>
  <si>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</si>
  <si>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2016 - 2020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</si>
  <si>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</si>
  <si>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</si>
  <si>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</si>
  <si>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</si>
  <si>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</si>
  <si>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</si>
  <si>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</si>
  <si>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</si>
  <si>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</si>
  <si>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</si>
  <si>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</si>
  <si>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</si>
  <si>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</si>
  <si>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</si>
  <si>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</si>
  <si>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Приложение № 3</t>
  </si>
  <si>
    <t xml:space="preserve">к муниципальной программе «Развитие образования в муниципальном образовании «Холмский городской округ» на 2015-2020 годы» 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</si>
  <si>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</si>
  <si>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</si>
  <si>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</si>
  <si>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</si>
  <si>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1.2.3.</t>
  </si>
  <si>
    <t>3.1.5.</t>
  </si>
  <si>
    <t>Обеспечение пожарной безопасности на территориях образовательных организаций и ликвидация травмоопасных факторов</t>
  </si>
  <si>
    <t>с ОСОШ(516,3)</t>
  </si>
  <si>
    <t>с ОСОШ(420,0)</t>
  </si>
  <si>
    <t>с ОСОШ (200,0)</t>
  </si>
  <si>
    <t>с ОСОШ (300,0)</t>
  </si>
  <si>
    <t>с ОСОШ (444,4+27723)</t>
  </si>
  <si>
    <t>с ОСОШ (511,6+ 18191,2)</t>
  </si>
  <si>
    <t>с ОСОШ(8463,0 + 462558,2)</t>
  </si>
  <si>
    <t>с ОСОШ(7313,+399429,7)</t>
  </si>
  <si>
    <t>с ОСОШ(7668,4+418887,9)</t>
  </si>
  <si>
    <t>с ОСОШ(420,0+11926)</t>
  </si>
  <si>
    <t>Укрепление материально – технической базы образовательных учреждений. Капитальный ремонт МАОУ СОШ с. Яблочное (фасад)</t>
  </si>
  <si>
    <t>Укрепление материально – технической базы образовательных учреждений. Капитальный ремонт купола зимнего сада МБДОУ детского сада «Теремок» г. Холмска</t>
  </si>
  <si>
    <t>Укрепление материально – технической базы образовательных учреждений. Капитальный ремонт фасада здания МБДОУ детского сада № 6 "Ромашка" г. Холмска</t>
  </si>
  <si>
    <t>Компенсация части родительской платы за присмотр и уход за детьми в дошкольных  образовательных учреждениях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</si>
  <si>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</t>
  </si>
  <si>
    <t>Обновление материально-технической базы общеобразовательных учреждений</t>
  </si>
  <si>
    <t>Осуществление организации питания обучающихся в образовательных организациях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</si>
  <si>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начисленной заработной плате наемных работников в организациях, у индивидуальных предпринимателей и физических лиц (среднемесячного дохода от трудовой деятельности) в Сахалинской области</t>
  </si>
  <si>
    <t>Оплата труда работников  дошкольной группы при общеобразовательных учреждениях</t>
  </si>
  <si>
    <t>Оснащение учебным,учебно-наглядным и учебно-лабораторным  оборудованием дошкольной группы при общеобразовательных учреждениях</t>
  </si>
  <si>
    <t>Ограждение участка административного здания по адресу:ул.Советская 68-А</t>
  </si>
  <si>
    <t>Комфортные и безопасные условия обучения и воспитания в  учреждениях дополнительного образования</t>
  </si>
  <si>
    <t>Осуществление организации питания обучающихся в (коррекционных) образовательных организациях для обучающихся воспитанников с ограниченными возможностями здоровья</t>
  </si>
  <si>
    <t>Обеспечение стабильного функционирования  общеобразовательных организаций</t>
  </si>
  <si>
    <t xml:space="preserve">Предоставление качественного, доступного и здорового питания детям и подросткам во время учебного процесса, сохранение и укрепление их здоровья
</t>
  </si>
  <si>
    <t xml:space="preserve">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образования, родителям (законным представителям)
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</si>
  <si>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образования, в регионе повысится качество кадрового состава дошкольного образования.</t>
  </si>
  <si>
    <t>Создание условий для функционирования лагерей с питанием: страхование, дератизация, акарицидная обработка, средства оказания первой медицинской помощи</t>
  </si>
  <si>
    <t>Строительство мастерских МБОУ СОШ № 9 г.Холмска</t>
  </si>
  <si>
    <t>1.2.4.</t>
  </si>
  <si>
    <t>1.3.2.</t>
  </si>
  <si>
    <t>1.3.3.</t>
  </si>
  <si>
    <t>1.3.4.</t>
  </si>
  <si>
    <t>1.4.1.</t>
  </si>
  <si>
    <t>1.4.2.</t>
  </si>
  <si>
    <t>1.5.1.</t>
  </si>
  <si>
    <t>1.6.1.</t>
  </si>
  <si>
    <t>3.2.1.1.</t>
  </si>
  <si>
    <t>3.2.3.</t>
  </si>
  <si>
    <t>3.2.4.</t>
  </si>
  <si>
    <t>3.2.5.</t>
  </si>
  <si>
    <t>3.2.6.</t>
  </si>
  <si>
    <t>1.4.3.</t>
  </si>
  <si>
    <t>2.1.2.</t>
  </si>
  <si>
    <t>2.2.1.</t>
  </si>
  <si>
    <t>3.1.3.</t>
  </si>
  <si>
    <t>3.1.6.</t>
  </si>
  <si>
    <t>4.1.</t>
  </si>
  <si>
    <t>4.2.</t>
  </si>
  <si>
    <t>2.2.5.</t>
  </si>
  <si>
    <t>2.2.6.</t>
  </si>
  <si>
    <t>2.1.3.</t>
  </si>
  <si>
    <t>2.1.4.</t>
  </si>
  <si>
    <t>5.1.2.</t>
  </si>
  <si>
    <t>5.1.3.</t>
  </si>
  <si>
    <t>5.1.4.</t>
  </si>
  <si>
    <t>5.1.5.</t>
  </si>
  <si>
    <t>5.1.6.</t>
  </si>
  <si>
    <t>5.1.7.</t>
  </si>
  <si>
    <r>
      <t xml:space="preserve">Конкурсный отбор </t>
    </r>
    <r>
      <rPr>
        <sz val="11"/>
        <color rgb="FF7030A0"/>
        <rFont val="Times New Roman"/>
        <family val="1"/>
        <charset val="204"/>
      </rPr>
      <t>обще</t>
    </r>
    <r>
      <rPr>
        <sz val="11"/>
        <rFont val="Times New Roman"/>
        <family val="1"/>
        <charset val="204"/>
      </rPr>
      <t>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  </r>
  </si>
  <si>
    <t>1.5.</t>
  </si>
  <si>
    <t>Льготный провоз школьников в пассажирском транспорте</t>
  </si>
  <si>
    <t>1.6.</t>
  </si>
  <si>
    <t>Обеспечение гарантированного своевременного и безопасного подвоза детей</t>
  </si>
  <si>
    <t>2017 -2020</t>
  </si>
  <si>
    <t>3.1.7.</t>
  </si>
  <si>
    <t>Обеспечение функционирования общеобразовательных учреждений, в том числе с учетом современных требований энергоэффективности</t>
  </si>
  <si>
    <t>Обеспечение функционирования учреждения, в том числе с учетом современных требований энергоэффективности</t>
  </si>
  <si>
    <t>Мероприятие 6. Социальная защита детей</t>
  </si>
  <si>
    <t>2017 - 2020</t>
  </si>
  <si>
    <t>Обеспечение мер социальной поддержки детей-сирот и детей, оставшихся без попечения родителей</t>
  </si>
  <si>
    <t>Администрация МО «Холмский городской округ»</t>
  </si>
  <si>
    <t>Подпрограмма 6. Функционирование прочих учреждений образования</t>
  </si>
  <si>
    <t>Мероприятие 1. Организация ведения бюджетного (бухгалтерского), налогового учета образовательных учреждений, укрепление материально-технической базы</t>
  </si>
  <si>
    <t>Создание условий для организации и ведения бухгалтерского (бухгалтерского), налогового учета образовательных учреждений</t>
  </si>
  <si>
    <t>Мероприятие 2. Хозяйственное обслуживание учреждений образования, укрепление материально-технической базы</t>
  </si>
  <si>
    <t>Мероприятие 3. 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</si>
  <si>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Обеспечение предоставления методического обслуживания в области дошкольного, общего и дополнительного образования</t>
  </si>
  <si>
    <t>ВСЕГО НА РЕАЛИЗАЦИЮ ПОДПРОГРАММЫ 6</t>
  </si>
  <si>
    <t>Создание условий для хозяйственного обслуживания учреждений образования</t>
  </si>
  <si>
    <t>Укрепление материально – технической базы образовательных учреждений. Капитальный ремонт МАОУ лицей "Надежда" г.Холмска, расположенного по адресу: ул.Победы,12</t>
  </si>
  <si>
    <t>снято</t>
  </si>
  <si>
    <t>разделить ДОУ 56,0</t>
  </si>
  <si>
    <t>СОШ 144,8</t>
  </si>
  <si>
    <t>УДО 39,7</t>
  </si>
  <si>
    <t>доб.6 меропр.</t>
  </si>
  <si>
    <t>"ЛИДЕР"</t>
  </si>
  <si>
    <t>убрать с 2 подпр.5 меропр.</t>
  </si>
  <si>
    <t>добавили</t>
  </si>
  <si>
    <t>тепло и свет</t>
  </si>
  <si>
    <t>прочие 611</t>
  </si>
  <si>
    <t>по 612</t>
  </si>
  <si>
    <t>добавляем</t>
  </si>
  <si>
    <t>было</t>
  </si>
  <si>
    <t>1.2.5.</t>
  </si>
  <si>
    <t>ОБ</t>
  </si>
  <si>
    <t>МБ</t>
  </si>
  <si>
    <t>фасад СОШ № 1 нам 4238,6+ СЕЗ 6465,6</t>
  </si>
  <si>
    <t>Мероприятие 6. Поддержка и распространение лучших образцов педагогической практики</t>
  </si>
  <si>
    <t>готово</t>
  </si>
  <si>
    <t>сняли 116,3</t>
  </si>
  <si>
    <t>сняли 162,8</t>
  </si>
  <si>
    <t>наше ОБ</t>
  </si>
  <si>
    <t>плюс УК</t>
  </si>
  <si>
    <t>вместе ОБ</t>
  </si>
  <si>
    <t>добавили меропр. И строку</t>
  </si>
  <si>
    <t>добавлена строка</t>
  </si>
  <si>
    <t>прочие,тек.рем.,налоги</t>
  </si>
  <si>
    <t>плюс ФОТ ГПД  и отпуск  и 112</t>
  </si>
  <si>
    <t xml:space="preserve"> и тепло 320</t>
  </si>
  <si>
    <t>с ОСОШ(8713,0 + 470270,8)</t>
  </si>
  <si>
    <t>с ФОТ ПДО</t>
  </si>
  <si>
    <t>доб строку</t>
  </si>
  <si>
    <t>доб.строку</t>
  </si>
  <si>
    <t>С ОСОШ(344,2+41546,4)</t>
  </si>
  <si>
    <t>доб.2524,5</t>
  </si>
  <si>
    <t>(279,6+19019,7)</t>
  </si>
  <si>
    <t>в т.ч ОСОШ</t>
  </si>
  <si>
    <t>доб.</t>
  </si>
  <si>
    <t>тепло и свет 440,1 плюс прочие 2676,7</t>
  </si>
  <si>
    <t>доб.3116,8</t>
  </si>
  <si>
    <t>доб.прочее 27751,9</t>
  </si>
  <si>
    <t>добав.19807,9</t>
  </si>
  <si>
    <t>исправили</t>
  </si>
  <si>
    <t>сняли 2000</t>
  </si>
  <si>
    <t>доб.20619,9</t>
  </si>
  <si>
    <t>доб.4505,7</t>
  </si>
  <si>
    <t>снять 7676,9 и 77,5</t>
  </si>
  <si>
    <t>доб.25,5 софинанс. На все</t>
  </si>
  <si>
    <t>снять 4343,0 и 37,0</t>
  </si>
  <si>
    <t>Укрепление материально – технической базы образовательных учреждений. Капитальный ремонт фасада здания  МАОУ лицей "Надежда" г.Холмска, расположенного по адресу: ул.Московская,4</t>
  </si>
  <si>
    <t>доб.3662,9 и 37</t>
  </si>
  <si>
    <t>доб.7165,3</t>
  </si>
  <si>
    <t>убрано на 4 подпр.6 меропр. 240,5</t>
  </si>
  <si>
    <t>снято 97,5 с нас ОБ</t>
  </si>
  <si>
    <t>доб.62,6 СЕЗ заключение по куполу</t>
  </si>
  <si>
    <t>мы-639,0</t>
  </si>
  <si>
    <t>УК-63,1</t>
  </si>
  <si>
    <t>доб.71,0</t>
  </si>
  <si>
    <t>УФ-61,7 стало</t>
  </si>
  <si>
    <t>мы-108,8</t>
  </si>
  <si>
    <t>УК-10</t>
  </si>
  <si>
    <t>УФ10,5 стало</t>
  </si>
  <si>
    <t>доб.19,2</t>
  </si>
  <si>
    <t>мы-167,8</t>
  </si>
  <si>
    <t>УК-15,4</t>
  </si>
  <si>
    <t>УФ 16,3 стало</t>
  </si>
  <si>
    <t>доб.29,7</t>
  </si>
  <si>
    <t>Комфортные условия обучения и воспитания в общеобразовательных учреждениях</t>
  </si>
  <si>
    <t>Соответствие организации подвоза школьников требованиям ГОСТа</t>
  </si>
  <si>
    <t>Обеспечение своевременной реализации социальных прав и гарантий детей-сирот и детей, оставшихся без попечения родителей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</si>
  <si>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</si>
  <si>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Обеспечение деятельности Централизованной бухгалтерии учреждений образований по осуществлению бюджетного (бухгалтерского), налогового учета образовательных учреждений</t>
  </si>
  <si>
    <t>Повышение уровня обслуживания учреждений образования</t>
  </si>
  <si>
    <t>Обеспечение методического и информационного сопровождения развития муниципальной системы образования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</si>
  <si>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</si>
  <si>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3.1.</t>
  </si>
  <si>
    <t>Управление образования администрации МО «Холмский городской округ» Управление культуры МО "Холмский городской округ"</t>
  </si>
  <si>
    <t>Укрепление материально – технической базы образовательных учреждений. Ремонт кровли МБДОУ детского сада «Теремок» г. Холмска</t>
  </si>
  <si>
    <t>Управление образования администрации МО «Холмский городской округ» Муниципальное казенное учреждение «Служба единого заказчика»</t>
  </si>
  <si>
    <t>Муниципальное казенное учреждение «Служба единого заказчика»</t>
  </si>
  <si>
    <t>1.4. Обеспечение функционирования общеобразовательных учреждений, в том числе с учетом современных требований энергоэффективности</t>
  </si>
  <si>
    <t xml:space="preserve">Администрация 
МО «Холмский городской округ»
</t>
  </si>
  <si>
    <t>МБУ «Отдел капитального строительства» муниципального образования "Холмский городской округ"</t>
  </si>
  <si>
    <t>1.2.6.</t>
  </si>
  <si>
    <t>Укрепление материально – технической базы образовательных учреждений. Капитальный ремонт фасада здания  МАОУ СОШ № 9 г.Холмска</t>
  </si>
</sst>
</file>

<file path=xl/styles.xml><?xml version="1.0" encoding="utf-8"?>
<styleSheet xmlns="http://schemas.openxmlformats.org/spreadsheetml/2006/main">
  <numFmts count="1">
    <numFmt numFmtId="164" formatCode="#,##0.0"/>
  </numFmts>
  <fonts count="37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6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2" fontId="0" fillId="0" borderId="0" xfId="0" applyNumberFormat="1" applyFill="1"/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3" fillId="0" borderId="16" xfId="0" applyNumberFormat="1" applyFont="1" applyFill="1" applyBorder="1" applyAlignment="1"/>
    <xf numFmtId="0" fontId="0" fillId="0" borderId="3" xfId="0" applyFill="1" applyBorder="1" applyAlignment="1"/>
    <xf numFmtId="0" fontId="8" fillId="0" borderId="37" xfId="0" applyFont="1" applyFill="1" applyBorder="1" applyAlignment="1">
      <alignment horizontal="justify" vertical="top" wrapText="1"/>
    </xf>
    <xf numFmtId="164" fontId="8" fillId="0" borderId="37" xfId="0" applyNumberFormat="1" applyFont="1" applyFill="1" applyBorder="1" applyAlignment="1">
      <alignment horizontal="justify" vertical="top" wrapText="1"/>
    </xf>
    <xf numFmtId="0" fontId="8" fillId="0" borderId="38" xfId="0" applyFont="1" applyFill="1" applyBorder="1" applyAlignment="1">
      <alignment horizontal="justify" vertical="top" wrapText="1"/>
    </xf>
    <xf numFmtId="0" fontId="16" fillId="0" borderId="37" xfId="0" applyFont="1" applyFill="1" applyBorder="1" applyAlignment="1">
      <alignment horizontal="justify" vertical="top" wrapText="1"/>
    </xf>
    <xf numFmtId="164" fontId="11" fillId="0" borderId="37" xfId="0" applyNumberFormat="1" applyFont="1" applyFill="1" applyBorder="1" applyAlignment="1">
      <alignment horizontal="justify" vertical="top" wrapText="1"/>
    </xf>
    <xf numFmtId="0" fontId="11" fillId="0" borderId="38" xfId="0" applyFont="1" applyFill="1" applyBorder="1" applyAlignment="1">
      <alignment horizontal="justify" vertical="top" wrapText="1"/>
    </xf>
    <xf numFmtId="0" fontId="1" fillId="0" borderId="0" xfId="0" applyFont="1" applyFill="1"/>
    <xf numFmtId="0" fontId="8" fillId="0" borderId="16" xfId="0" applyFont="1" applyFill="1" applyBorder="1" applyAlignment="1">
      <alignment horizontal="justify" vertical="top" wrapText="1"/>
    </xf>
    <xf numFmtId="0" fontId="2" fillId="0" borderId="16" xfId="0" applyFont="1" applyFill="1" applyBorder="1"/>
    <xf numFmtId="164" fontId="2" fillId="0" borderId="37" xfId="0" applyNumberFormat="1" applyFont="1" applyFill="1" applyBorder="1"/>
    <xf numFmtId="0" fontId="2" fillId="0" borderId="38" xfId="0" applyFont="1" applyFill="1" applyBorder="1"/>
    <xf numFmtId="0" fontId="1" fillId="0" borderId="0" xfId="0" applyFont="1" applyFill="1" applyBorder="1"/>
    <xf numFmtId="0" fontId="29" fillId="0" borderId="0" xfId="0" applyFont="1" applyFill="1"/>
    <xf numFmtId="164" fontId="3" fillId="0" borderId="0" xfId="0" applyNumberFormat="1" applyFont="1" applyFill="1" applyBorder="1" applyAlignment="1"/>
    <xf numFmtId="164" fontId="0" fillId="0" borderId="0" xfId="0" applyNumberFormat="1" applyFill="1"/>
    <xf numFmtId="0" fontId="0" fillId="0" borderId="10" xfId="0" applyFill="1" applyBorder="1"/>
    <xf numFmtId="0" fontId="0" fillId="0" borderId="23" xfId="0" applyFill="1" applyBorder="1"/>
    <xf numFmtId="164" fontId="0" fillId="0" borderId="23" xfId="0" applyNumberFormat="1" applyFill="1" applyBorder="1"/>
    <xf numFmtId="0" fontId="0" fillId="0" borderId="23" xfId="0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64" fontId="3" fillId="0" borderId="4" xfId="0" applyNumberFormat="1" applyFont="1" applyFill="1" applyBorder="1" applyAlignment="1"/>
    <xf numFmtId="4" fontId="0" fillId="0" borderId="0" xfId="0" applyNumberFormat="1" applyFill="1"/>
    <xf numFmtId="164" fontId="1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" fillId="0" borderId="23" xfId="0" applyFont="1" applyFill="1" applyBorder="1"/>
    <xf numFmtId="164" fontId="0" fillId="0" borderId="10" xfId="0" applyNumberFormat="1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10" xfId="0" applyFont="1" applyFill="1" applyBorder="1"/>
    <xf numFmtId="164" fontId="33" fillId="0" borderId="0" xfId="0" applyNumberFormat="1" applyFont="1" applyFill="1"/>
    <xf numFmtId="0" fontId="33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4" fontId="34" fillId="0" borderId="11" xfId="0" applyNumberFormat="1" applyFont="1" applyFill="1" applyBorder="1" applyAlignment="1">
      <alignment horizontal="justify" vertical="top" wrapText="1"/>
    </xf>
    <xf numFmtId="0" fontId="34" fillId="0" borderId="11" xfId="0" applyFont="1" applyFill="1" applyBorder="1" applyAlignment="1">
      <alignment horizontal="justify" vertical="top" wrapText="1"/>
    </xf>
    <xf numFmtId="164" fontId="35" fillId="0" borderId="7" xfId="0" applyNumberFormat="1" applyFont="1" applyFill="1" applyBorder="1" applyAlignment="1">
      <alignment horizontal="justify" vertical="top" wrapText="1"/>
    </xf>
    <xf numFmtId="0" fontId="35" fillId="0" borderId="7" xfId="0" applyFont="1" applyFill="1" applyBorder="1" applyAlignment="1">
      <alignment horizontal="justify" vertical="top" wrapText="1"/>
    </xf>
    <xf numFmtId="4" fontId="33" fillId="0" borderId="0" xfId="0" applyNumberFormat="1" applyFont="1" applyFill="1" applyBorder="1"/>
    <xf numFmtId="0" fontId="33" fillId="0" borderId="0" xfId="0" applyFont="1" applyFill="1" applyBorder="1"/>
    <xf numFmtId="4" fontId="33" fillId="0" borderId="0" xfId="0" applyNumberFormat="1" applyFont="1" applyFill="1"/>
    <xf numFmtId="0" fontId="8" fillId="0" borderId="3" xfId="0" applyFont="1" applyFill="1" applyBorder="1" applyAlignment="1">
      <alignment horizontal="right" wrapText="1"/>
    </xf>
    <xf numFmtId="0" fontId="1" fillId="0" borderId="4" xfId="0" applyFont="1" applyFill="1" applyBorder="1"/>
    <xf numFmtId="0" fontId="1" fillId="0" borderId="2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 wrapText="1"/>
    </xf>
    <xf numFmtId="164" fontId="33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/>
    <xf numFmtId="164" fontId="7" fillId="0" borderId="3" xfId="0" applyNumberFormat="1" applyFont="1" applyFill="1" applyBorder="1"/>
    <xf numFmtId="164" fontId="7" fillId="0" borderId="3" xfId="0" applyNumberFormat="1" applyFont="1" applyFill="1" applyBorder="1" applyAlignment="1">
      <alignment horizontal="justify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right" vertical="top" wrapText="1"/>
    </xf>
    <xf numFmtId="164" fontId="7" fillId="0" borderId="37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justify"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164" fontId="7" fillId="0" borderId="16" xfId="0" applyNumberFormat="1" applyFont="1" applyFill="1" applyBorder="1" applyAlignment="1"/>
    <xf numFmtId="164" fontId="2" fillId="0" borderId="16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vertical="top" wrapText="1"/>
    </xf>
    <xf numFmtId="164" fontId="2" fillId="0" borderId="2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justify" vertical="top" wrapText="1"/>
    </xf>
    <xf numFmtId="4" fontId="2" fillId="0" borderId="2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0" fillId="0" borderId="2" xfId="0" applyFill="1" applyBorder="1" applyAlignment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1" fillId="0" borderId="37" xfId="0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horizontal="justify" wrapText="1"/>
    </xf>
    <xf numFmtId="0" fontId="8" fillId="0" borderId="45" xfId="0" applyFont="1" applyFill="1" applyBorder="1" applyAlignment="1"/>
    <xf numFmtId="164" fontId="7" fillId="0" borderId="45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37" xfId="0" applyFill="1" applyBorder="1"/>
    <xf numFmtId="164" fontId="7" fillId="0" borderId="37" xfId="0" applyNumberFormat="1" applyFont="1" applyFill="1" applyBorder="1"/>
    <xf numFmtId="164" fontId="12" fillId="0" borderId="37" xfId="0" applyNumberFormat="1" applyFont="1" applyFill="1" applyBorder="1"/>
    <xf numFmtId="0" fontId="0" fillId="0" borderId="38" xfId="0" applyFill="1" applyBorder="1"/>
    <xf numFmtId="164" fontId="7" fillId="0" borderId="16" xfId="0" applyNumberFormat="1" applyFont="1" applyFill="1" applyBorder="1" applyAlignment="1">
      <alignment horizontal="justify" vertical="top" wrapText="1"/>
    </xf>
    <xf numFmtId="164" fontId="8" fillId="0" borderId="16" xfId="0" applyNumberFormat="1" applyFont="1" applyFill="1" applyBorder="1" applyAlignment="1">
      <alignment horizontal="justify" vertical="top" wrapText="1"/>
    </xf>
    <xf numFmtId="0" fontId="14" fillId="0" borderId="37" xfId="0" applyFont="1" applyFill="1" applyBorder="1" applyAlignment="1">
      <alignment horizontal="justify" vertical="top" wrapText="1"/>
    </xf>
    <xf numFmtId="164" fontId="14" fillId="0" borderId="37" xfId="0" applyNumberFormat="1" applyFont="1" applyFill="1" applyBorder="1" applyAlignment="1">
      <alignment horizontal="justify" vertical="top" wrapText="1"/>
    </xf>
    <xf numFmtId="164" fontId="7" fillId="0" borderId="37" xfId="0" applyNumberFormat="1" applyFont="1" applyFill="1" applyBorder="1" applyAlignment="1">
      <alignment wrapText="1"/>
    </xf>
    <xf numFmtId="164" fontId="7" fillId="0" borderId="27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4" xfId="0" applyFont="1" applyFill="1" applyBorder="1"/>
    <xf numFmtId="164" fontId="7" fillId="0" borderId="15" xfId="0" applyNumberFormat="1" applyFont="1" applyFill="1" applyBorder="1" applyAlignment="1">
      <alignment horizontal="right" wrapText="1"/>
    </xf>
    <xf numFmtId="164" fontId="3" fillId="0" borderId="29" xfId="0" applyNumberFormat="1" applyFont="1" applyFill="1" applyBorder="1" applyAlignment="1">
      <alignment horizontal="justify" vertical="top" wrapText="1"/>
    </xf>
    <xf numFmtId="164" fontId="3" fillId="0" borderId="19" xfId="0" applyNumberFormat="1" applyFont="1" applyFill="1" applyBorder="1" applyAlignment="1"/>
    <xf numFmtId="0" fontId="14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8" fillId="0" borderId="37" xfId="0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0" fontId="14" fillId="0" borderId="29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horizontal="right" vertical="top" wrapText="1"/>
    </xf>
    <xf numFmtId="0" fontId="14" fillId="0" borderId="43" xfId="0" applyFont="1" applyFill="1" applyBorder="1" applyAlignment="1">
      <alignment horizontal="justify" vertical="center" wrapText="1"/>
    </xf>
    <xf numFmtId="0" fontId="21" fillId="0" borderId="43" xfId="0" applyFont="1" applyFill="1" applyBorder="1" applyAlignment="1">
      <alignment horizontal="justify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53" xfId="0" applyFont="1" applyFill="1" applyBorder="1"/>
    <xf numFmtId="0" fontId="14" fillId="0" borderId="45" xfId="0" applyFont="1" applyFill="1" applyBorder="1" applyAlignment="1">
      <alignment horizontal="justify" vertical="top" wrapText="1"/>
    </xf>
    <xf numFmtId="164" fontId="7" fillId="0" borderId="45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0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4" fillId="0" borderId="3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/>
    <xf numFmtId="0" fontId="7" fillId="0" borderId="2" xfId="0" applyFont="1" applyFill="1" applyBorder="1" applyAlignment="1">
      <alignment horizontal="left" vertical="top" wrapText="1"/>
    </xf>
    <xf numFmtId="0" fontId="14" fillId="0" borderId="32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8" xfId="0" applyFont="1" applyFill="1" applyBorder="1" applyAlignment="1">
      <alignment horizontal="justify" wrapText="1"/>
    </xf>
    <xf numFmtId="0" fontId="3" fillId="0" borderId="16" xfId="0" applyFont="1" applyFill="1" applyBorder="1" applyAlignment="1">
      <alignment horizontal="justify" wrapText="1"/>
    </xf>
    <xf numFmtId="0" fontId="8" fillId="0" borderId="3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9" fillId="0" borderId="13" xfId="0" applyFont="1" applyFill="1" applyBorder="1" applyAlignment="1">
      <alignment horizontal="justify" vertical="top" wrapText="1"/>
    </xf>
    <xf numFmtId="0" fontId="9" fillId="0" borderId="22" xfId="0" applyFont="1" applyFill="1" applyBorder="1" applyAlignment="1">
      <alignment horizontal="justify" vertical="top" wrapText="1"/>
    </xf>
    <xf numFmtId="49" fontId="3" fillId="0" borderId="3" xfId="0" applyNumberFormat="1" applyFont="1" applyFill="1" applyBorder="1" applyAlignment="1"/>
    <xf numFmtId="49" fontId="3" fillId="0" borderId="16" xfId="0" applyNumberFormat="1" applyFont="1" applyFill="1" applyBorder="1" applyAlignment="1"/>
    <xf numFmtId="49" fontId="3" fillId="0" borderId="2" xfId="0" applyNumberFormat="1" applyFont="1" applyFill="1" applyBorder="1" applyAlignment="1">
      <alignment horizontal="justify" wrapText="1"/>
    </xf>
    <xf numFmtId="49" fontId="22" fillId="0" borderId="2" xfId="0" applyNumberFormat="1" applyFont="1" applyFill="1" applyBorder="1" applyAlignment="1"/>
    <xf numFmtId="0" fontId="36" fillId="0" borderId="3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49" fontId="3" fillId="0" borderId="19" xfId="0" applyNumberFormat="1" applyFont="1" applyFill="1" applyBorder="1" applyAlignment="1"/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19" fillId="0" borderId="25" xfId="0" applyFont="1" applyFill="1" applyBorder="1" applyAlignment="1">
      <alignment wrapText="1"/>
    </xf>
    <xf numFmtId="0" fontId="19" fillId="0" borderId="21" xfId="0" applyFont="1" applyFill="1" applyBorder="1" applyAlignment="1">
      <alignment wrapText="1"/>
    </xf>
    <xf numFmtId="49" fontId="3" fillId="0" borderId="2" xfId="0" applyNumberFormat="1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0" fontId="14" fillId="0" borderId="36" xfId="0" applyFont="1" applyFill="1" applyBorder="1" applyAlignment="1">
      <alignment horizontal="justify" vertical="top" wrapText="1"/>
    </xf>
    <xf numFmtId="0" fontId="28" fillId="0" borderId="37" xfId="0" applyFont="1" applyFill="1" applyBorder="1" applyAlignment="1">
      <alignment horizontal="justify" vertical="top" wrapText="1"/>
    </xf>
    <xf numFmtId="0" fontId="2" fillId="0" borderId="22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7" xfId="0" applyFont="1" applyFill="1" applyBorder="1" applyAlignment="1" applyProtection="1">
      <alignment vertical="center" wrapText="1"/>
      <protection locked="0"/>
    </xf>
    <xf numFmtId="0" fontId="0" fillId="0" borderId="3" xfId="0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7" fillId="0" borderId="2" xfId="0" applyFont="1" applyFill="1" applyBorder="1" applyAlignment="1"/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7" fillId="0" borderId="32" xfId="0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justify" vertical="top" wrapText="1"/>
    </xf>
    <xf numFmtId="0" fontId="14" fillId="0" borderId="32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7" fillId="0" borderId="3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9" fillId="0" borderId="16" xfId="0" applyFont="1" applyFill="1" applyBorder="1" applyAlignment="1">
      <alignment horizontal="justify" vertical="top" wrapText="1"/>
    </xf>
    <xf numFmtId="0" fontId="7" fillId="0" borderId="3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3" fillId="0" borderId="10" xfId="0" applyFont="1" applyFill="1" applyBorder="1" applyAlignment="1">
      <alignment horizontal="justify" wrapText="1"/>
    </xf>
    <xf numFmtId="0" fontId="1" fillId="0" borderId="10" xfId="0" applyFont="1" applyFill="1" applyBorder="1" applyAlignment="1"/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0" fillId="0" borderId="2" xfId="0" applyFill="1" applyBorder="1" applyAlignment="1">
      <alignment horizontal="justify" vertical="top" wrapText="1"/>
    </xf>
    <xf numFmtId="0" fontId="0" fillId="0" borderId="17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0" fontId="0" fillId="0" borderId="13" xfId="0" applyFill="1" applyBorder="1" applyAlignment="1"/>
    <xf numFmtId="0" fontId="7" fillId="0" borderId="36" xfId="0" applyFont="1" applyFill="1" applyBorder="1" applyAlignment="1">
      <alignment horizontal="justify" vertical="top" wrapText="1"/>
    </xf>
    <xf numFmtId="0" fontId="9" fillId="0" borderId="37" xfId="0" applyFont="1" applyFill="1" applyBorder="1" applyAlignment="1">
      <alignment horizontal="justify" vertical="top" wrapText="1"/>
    </xf>
    <xf numFmtId="0" fontId="7" fillId="0" borderId="36" xfId="0" applyFont="1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0" fontId="9" fillId="0" borderId="38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49" fontId="0" fillId="0" borderId="13" xfId="0" applyNumberForma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22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wrapText="1"/>
    </xf>
    <xf numFmtId="49" fontId="10" fillId="0" borderId="19" xfId="0" applyNumberFormat="1" applyFont="1" applyFill="1" applyBorder="1" applyAlignment="1">
      <alignment horizontal="justify" wrapText="1"/>
    </xf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10" fillId="0" borderId="2" xfId="0" applyFont="1" applyFill="1" applyBorder="1" applyAlignment="1">
      <alignment horizontal="justify" wrapText="1"/>
    </xf>
    <xf numFmtId="0" fontId="0" fillId="0" borderId="2" xfId="0" applyFill="1" applyBorder="1" applyAlignment="1"/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9" fontId="0" fillId="0" borderId="3" xfId="0" applyNumberFormat="1" applyFill="1" applyBorder="1" applyAlignment="1"/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2" xfId="0" applyFill="1" applyBorder="1" applyAlignment="1">
      <alignment horizontal="justify" wrapText="1"/>
    </xf>
    <xf numFmtId="0" fontId="2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justify" vertical="top" wrapText="1"/>
    </xf>
    <xf numFmtId="0" fontId="7" fillId="0" borderId="3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40" xfId="0" applyFont="1" applyFill="1" applyBorder="1" applyAlignment="1">
      <alignment horizontal="left" wrapText="1"/>
    </xf>
    <xf numFmtId="0" fontId="3" fillId="0" borderId="48" xfId="0" applyFont="1" applyFill="1" applyBorder="1" applyAlignment="1"/>
    <xf numFmtId="0" fontId="3" fillId="0" borderId="57" xfId="0" applyFont="1" applyFill="1" applyBorder="1" applyAlignment="1"/>
    <xf numFmtId="0" fontId="3" fillId="0" borderId="49" xfId="0" applyFont="1" applyFill="1" applyBorder="1" applyAlignment="1"/>
    <xf numFmtId="0" fontId="7" fillId="0" borderId="19" xfId="0" applyFont="1" applyFill="1" applyBorder="1" applyAlignment="1">
      <alignment horizontal="justify" wrapText="1"/>
    </xf>
    <xf numFmtId="0" fontId="0" fillId="0" borderId="28" xfId="0" applyFill="1" applyBorder="1" applyAlignment="1">
      <alignment horizontal="justify" wrapText="1"/>
    </xf>
    <xf numFmtId="0" fontId="0" fillId="0" borderId="29" xfId="0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3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36" fillId="0" borderId="3" xfId="0" applyFont="1" applyFill="1" applyBorder="1" applyAlignment="1">
      <alignment horizontal="center" vertical="top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7" fillId="0" borderId="50" xfId="0" applyFont="1" applyFill="1" applyBorder="1" applyAlignment="1">
      <alignment horizontal="justify" wrapText="1"/>
    </xf>
    <xf numFmtId="0" fontId="0" fillId="0" borderId="51" xfId="0" applyFill="1" applyBorder="1" applyAlignment="1">
      <alignment horizontal="justify" wrapText="1"/>
    </xf>
    <xf numFmtId="0" fontId="0" fillId="0" borderId="52" xfId="0" applyFill="1" applyBorder="1" applyAlignment="1">
      <alignment horizontal="justify" wrapText="1"/>
    </xf>
    <xf numFmtId="0" fontId="7" fillId="0" borderId="54" xfId="0" applyFont="1" applyFill="1" applyBorder="1" applyAlignment="1">
      <alignment horizontal="justify" vertical="top" wrapText="1"/>
    </xf>
    <xf numFmtId="0" fontId="0" fillId="0" borderId="55" xfId="0" applyFill="1" applyBorder="1" applyAlignment="1">
      <alignment horizontal="justify" vertical="top" wrapText="1"/>
    </xf>
    <xf numFmtId="0" fontId="0" fillId="0" borderId="56" xfId="0" applyFill="1" applyBorder="1" applyAlignment="1">
      <alignment horizontal="justify" vertical="top" wrapText="1"/>
    </xf>
    <xf numFmtId="0" fontId="25" fillId="0" borderId="2" xfId="0" applyFont="1" applyFill="1" applyBorder="1" applyAlignment="1">
      <alignment vertical="top" wrapText="1"/>
    </xf>
    <xf numFmtId="0" fontId="7" fillId="0" borderId="31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0" fontId="25" fillId="0" borderId="19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vertical="top" wrapText="1"/>
    </xf>
    <xf numFmtId="0" fontId="3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/>
    <xf numFmtId="49" fontId="1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/>
    <xf numFmtId="0" fontId="19" fillId="0" borderId="2" xfId="0" applyFont="1" applyFill="1" applyBorder="1" applyAlignment="1">
      <alignment horizontal="justify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0" fontId="0" fillId="0" borderId="16" xfId="0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42" xfId="0" applyFont="1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top" wrapText="1"/>
    </xf>
    <xf numFmtId="0" fontId="23" fillId="0" borderId="2" xfId="0" applyFont="1" applyFill="1" applyBorder="1" applyAlignment="1">
      <alignment wrapText="1"/>
    </xf>
    <xf numFmtId="0" fontId="23" fillId="0" borderId="3" xfId="0" applyFont="1" applyFill="1" applyBorder="1" applyAlignment="1">
      <alignment wrapText="1"/>
    </xf>
    <xf numFmtId="0" fontId="7" fillId="0" borderId="32" xfId="0" applyFont="1" applyFill="1" applyBorder="1" applyAlignment="1">
      <alignment horizontal="justify" wrapText="1"/>
    </xf>
    <xf numFmtId="0" fontId="9" fillId="0" borderId="11" xfId="0" applyFont="1" applyFill="1" applyBorder="1" applyAlignment="1">
      <alignment horizontal="justify" wrapText="1"/>
    </xf>
    <xf numFmtId="0" fontId="9" fillId="0" borderId="40" xfId="0" applyFont="1" applyFill="1" applyBorder="1" applyAlignment="1">
      <alignment horizontal="justify" wrapText="1"/>
    </xf>
    <xf numFmtId="0" fontId="3" fillId="0" borderId="41" xfId="0" applyFont="1" applyFill="1" applyBorder="1" applyAlignment="1">
      <alignment horizontal="justify" vertical="top" wrapText="1"/>
    </xf>
    <xf numFmtId="0" fontId="1" fillId="0" borderId="11" xfId="0" applyFont="1" applyFill="1" applyBorder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0" fontId="0" fillId="0" borderId="16" xfId="0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4" xfId="0" applyFont="1" applyFill="1" applyBorder="1" applyAlignment="1">
      <alignment horizontal="justify" wrapText="1"/>
    </xf>
    <xf numFmtId="0" fontId="9" fillId="0" borderId="35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/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/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3" fillId="0" borderId="2" xfId="0" applyFont="1" applyFill="1" applyBorder="1" applyAlignment="1"/>
    <xf numFmtId="0" fontId="3" fillId="0" borderId="16" xfId="0" applyFont="1" applyFill="1" applyBorder="1" applyAlignment="1"/>
    <xf numFmtId="49" fontId="8" fillId="0" borderId="2" xfId="0" applyNumberFormat="1" applyFont="1" applyFill="1" applyBorder="1" applyAlignment="1"/>
    <xf numFmtId="0" fontId="31" fillId="0" borderId="1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wrapText="1"/>
    </xf>
    <xf numFmtId="0" fontId="10" fillId="0" borderId="3" xfId="0" applyFont="1" applyFill="1" applyBorder="1" applyAlignment="1">
      <alignment horizontal="justify" wrapText="1"/>
    </xf>
    <xf numFmtId="0" fontId="7" fillId="0" borderId="10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36" fillId="0" borderId="16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justify" vertical="top" wrapText="1"/>
    </xf>
    <xf numFmtId="0" fontId="9" fillId="0" borderId="5" xfId="0" applyFont="1" applyFill="1" applyBorder="1" applyAlignment="1">
      <alignment horizontal="justify" vertical="top" wrapText="1"/>
    </xf>
    <xf numFmtId="0" fontId="22" fillId="0" borderId="16" xfId="0" applyFont="1" applyFill="1" applyBorder="1" applyAlignment="1"/>
    <xf numFmtId="0" fontId="2" fillId="0" borderId="3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wrapText="1"/>
    </xf>
    <xf numFmtId="0" fontId="9" fillId="0" borderId="2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764"/>
  <sheetViews>
    <sheetView tabSelected="1" view="pageBreakPreview" topLeftCell="A64" zoomScaleNormal="100" zoomScaleSheetLayoutView="100" workbookViewId="0">
      <selection activeCell="L47" sqref="L47"/>
    </sheetView>
  </sheetViews>
  <sheetFormatPr defaultRowHeight="12.75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9.85546875" style="4" customWidth="1"/>
    <col min="6" max="6" width="11.7109375" style="4" customWidth="1"/>
    <col min="7" max="7" width="11.140625" style="4" customWidth="1"/>
    <col min="8" max="8" width="11.57031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2" style="4" customWidth="1"/>
    <col min="13" max="13" width="9.140625" style="4"/>
    <col min="14" max="14" width="11.42578125" style="4" customWidth="1"/>
    <col min="15" max="15" width="12.5703125" style="4" customWidth="1"/>
    <col min="16" max="16" width="10.140625" style="4" bestFit="1" customWidth="1"/>
    <col min="17" max="17" width="10.5703125" style="4" customWidth="1"/>
    <col min="18" max="18" width="10" style="4" bestFit="1" customWidth="1"/>
    <col min="19" max="16384" width="9.140625" style="4"/>
  </cols>
  <sheetData>
    <row r="1" spans="1:26" ht="19.5" customHeight="1">
      <c r="H1" s="486" t="s">
        <v>240</v>
      </c>
      <c r="I1" s="486"/>
      <c r="J1" s="486"/>
      <c r="K1" s="486"/>
    </row>
    <row r="2" spans="1:26" ht="24" customHeight="1">
      <c r="H2" s="487" t="s">
        <v>241</v>
      </c>
      <c r="I2" s="488"/>
      <c r="J2" s="488"/>
      <c r="K2" s="488"/>
    </row>
    <row r="3" spans="1:26" ht="15.75" customHeight="1">
      <c r="C3" s="175"/>
      <c r="F3" s="175"/>
      <c r="G3" s="175"/>
      <c r="H3" s="175"/>
    </row>
    <row r="4" spans="1:26" ht="15.75">
      <c r="C4" s="23"/>
    </row>
    <row r="5" spans="1:26" ht="12.75" customHeight="1">
      <c r="A5" s="493" t="s">
        <v>116</v>
      </c>
      <c r="B5" s="493"/>
      <c r="C5" s="493"/>
      <c r="D5" s="493"/>
      <c r="E5" s="493"/>
      <c r="F5" s="493"/>
      <c r="G5" s="493"/>
      <c r="H5" s="493"/>
      <c r="I5" s="493"/>
      <c r="J5" s="493"/>
      <c r="K5" s="493"/>
    </row>
    <row r="6" spans="1:26" ht="12.75" customHeight="1">
      <c r="A6" s="493" t="s">
        <v>117</v>
      </c>
      <c r="B6" s="493"/>
      <c r="C6" s="493"/>
      <c r="D6" s="493"/>
      <c r="E6" s="493"/>
      <c r="F6" s="493"/>
      <c r="G6" s="493"/>
      <c r="H6" s="493"/>
      <c r="I6" s="493"/>
      <c r="J6" s="493"/>
      <c r="K6" s="493"/>
    </row>
    <row r="7" spans="1:26" ht="12.75" customHeight="1">
      <c r="A7" s="493" t="s">
        <v>118</v>
      </c>
      <c r="B7" s="493"/>
      <c r="C7" s="493"/>
      <c r="D7" s="493"/>
      <c r="E7" s="493"/>
      <c r="F7" s="493"/>
      <c r="G7" s="493"/>
      <c r="H7" s="493"/>
      <c r="I7" s="493"/>
      <c r="J7" s="493"/>
      <c r="K7" s="493"/>
    </row>
    <row r="10" spans="1:26" ht="18" customHeight="1">
      <c r="A10" s="489" t="s">
        <v>2</v>
      </c>
      <c r="B10" s="489" t="s">
        <v>3</v>
      </c>
      <c r="C10" s="489" t="s">
        <v>4</v>
      </c>
      <c r="D10" s="489" t="s">
        <v>5</v>
      </c>
      <c r="E10" s="489" t="s">
        <v>6</v>
      </c>
      <c r="F10" s="489" t="s">
        <v>7</v>
      </c>
      <c r="G10" s="489"/>
      <c r="H10" s="489"/>
      <c r="I10" s="489"/>
      <c r="J10" s="489"/>
      <c r="K10" s="489" t="s">
        <v>8</v>
      </c>
    </row>
    <row r="11" spans="1:26" ht="45">
      <c r="A11" s="489"/>
      <c r="B11" s="489"/>
      <c r="C11" s="489"/>
      <c r="D11" s="489"/>
      <c r="E11" s="489"/>
      <c r="F11" s="176" t="s">
        <v>9</v>
      </c>
      <c r="G11" s="176" t="s">
        <v>10</v>
      </c>
      <c r="H11" s="176" t="s">
        <v>11</v>
      </c>
      <c r="I11" s="176" t="s">
        <v>12</v>
      </c>
      <c r="J11" s="176" t="s">
        <v>13</v>
      </c>
      <c r="K11" s="489"/>
    </row>
    <row r="12" spans="1:26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>
      <c r="A13" s="491" t="s">
        <v>14</v>
      </c>
      <c r="B13" s="492"/>
      <c r="C13" s="492"/>
      <c r="D13" s="492"/>
      <c r="E13" s="492"/>
      <c r="F13" s="492"/>
      <c r="G13" s="492"/>
      <c r="H13" s="492"/>
      <c r="I13" s="492"/>
      <c r="J13" s="492"/>
      <c r="K13" s="492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>
      <c r="A14" s="490" t="s">
        <v>15</v>
      </c>
      <c r="B14" s="490"/>
      <c r="C14" s="490"/>
      <c r="D14" s="490"/>
      <c r="E14" s="490"/>
      <c r="F14" s="490"/>
      <c r="G14" s="490"/>
      <c r="H14" s="490"/>
      <c r="I14" s="490"/>
      <c r="J14" s="490"/>
      <c r="K14" s="490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2.25" customHeight="1">
      <c r="A15" s="373" t="s">
        <v>232</v>
      </c>
      <c r="B15" s="326"/>
      <c r="C15" s="326"/>
      <c r="D15" s="339"/>
      <c r="E15" s="339"/>
      <c r="F15" s="339"/>
      <c r="G15" s="339"/>
      <c r="H15" s="339"/>
      <c r="I15" s="339"/>
      <c r="J15" s="339"/>
      <c r="K15" s="339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</row>
    <row r="16" spans="1:26" ht="15">
      <c r="A16" s="432" t="s">
        <v>16</v>
      </c>
      <c r="B16" s="282" t="s">
        <v>17</v>
      </c>
      <c r="C16" s="233">
        <v>2015</v>
      </c>
      <c r="D16" s="429" t="s">
        <v>412</v>
      </c>
      <c r="E16" s="178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227" t="s">
        <v>114</v>
      </c>
    </row>
    <row r="17" spans="1:26" ht="15">
      <c r="A17" s="432"/>
      <c r="B17" s="283"/>
      <c r="C17" s="234"/>
      <c r="D17" s="430"/>
      <c r="E17" s="178">
        <v>2016</v>
      </c>
      <c r="F17" s="7"/>
      <c r="G17" s="7"/>
      <c r="H17" s="7"/>
      <c r="I17" s="7"/>
      <c r="J17" s="7"/>
      <c r="K17" s="235"/>
    </row>
    <row r="18" spans="1:26" ht="20.25" customHeight="1">
      <c r="A18" s="432"/>
      <c r="B18" s="283"/>
      <c r="C18" s="234"/>
      <c r="D18" s="430"/>
      <c r="E18" s="178">
        <v>2017</v>
      </c>
      <c r="F18" s="7"/>
      <c r="G18" s="7"/>
      <c r="H18" s="7"/>
      <c r="I18" s="7"/>
      <c r="J18" s="7"/>
      <c r="K18" s="235"/>
    </row>
    <row r="19" spans="1:26" ht="18.75" customHeight="1">
      <c r="A19" s="432"/>
      <c r="B19" s="283"/>
      <c r="C19" s="234"/>
      <c r="D19" s="430"/>
      <c r="E19" s="178">
        <v>2018</v>
      </c>
      <c r="F19" s="7"/>
      <c r="G19" s="7"/>
      <c r="H19" s="7"/>
      <c r="I19" s="7"/>
      <c r="J19" s="7"/>
      <c r="K19" s="235"/>
      <c r="L19" s="99"/>
    </row>
    <row r="20" spans="1:26" ht="15" customHeight="1">
      <c r="A20" s="432"/>
      <c r="B20" s="283"/>
      <c r="C20" s="234"/>
      <c r="D20" s="430"/>
      <c r="E20" s="178">
        <v>2019</v>
      </c>
      <c r="F20" s="7"/>
      <c r="G20" s="7"/>
      <c r="H20" s="7"/>
      <c r="I20" s="7"/>
      <c r="J20" s="7"/>
      <c r="K20" s="235"/>
    </row>
    <row r="21" spans="1:26" ht="17.25" customHeight="1">
      <c r="A21" s="432"/>
      <c r="B21" s="283"/>
      <c r="C21" s="234"/>
      <c r="D21" s="430"/>
      <c r="E21" s="178">
        <v>2020</v>
      </c>
      <c r="F21" s="7"/>
      <c r="G21" s="7"/>
      <c r="H21" s="7"/>
      <c r="I21" s="7"/>
      <c r="J21" s="7"/>
      <c r="K21" s="235"/>
    </row>
    <row r="22" spans="1:26" ht="12.75" customHeight="1">
      <c r="A22" s="432"/>
      <c r="B22" s="284"/>
      <c r="C22" s="234"/>
      <c r="D22" s="431"/>
      <c r="E22" s="18" t="s">
        <v>18</v>
      </c>
      <c r="F22" s="8">
        <f>SUM(F16:F21)</f>
        <v>123364</v>
      </c>
      <c r="G22" s="8">
        <f>SUM(G16:G21)</f>
        <v>0</v>
      </c>
      <c r="H22" s="8">
        <f>SUM(H16:H21)</f>
        <v>118986.5</v>
      </c>
      <c r="I22" s="8">
        <f>SUM(I16:I21)</f>
        <v>4377.5</v>
      </c>
      <c r="J22" s="8"/>
      <c r="K22" s="228"/>
    </row>
    <row r="23" spans="1:26" ht="15">
      <c r="A23" s="432" t="s">
        <v>19</v>
      </c>
      <c r="B23" s="282" t="s">
        <v>128</v>
      </c>
      <c r="C23" s="233">
        <v>2015</v>
      </c>
      <c r="D23" s="429" t="s">
        <v>412</v>
      </c>
      <c r="E23" s="178">
        <v>2015</v>
      </c>
      <c r="F23" s="7">
        <f>SUM(G23:I23)</f>
        <v>5858.9</v>
      </c>
      <c r="G23" s="7"/>
      <c r="H23" s="7">
        <f>104685.7-104685.7</f>
        <v>0</v>
      </c>
      <c r="I23" s="7">
        <v>5858.9</v>
      </c>
      <c r="J23" s="7"/>
      <c r="K23" s="227" t="s">
        <v>115</v>
      </c>
    </row>
    <row r="24" spans="1:26" ht="15">
      <c r="A24" s="432"/>
      <c r="B24" s="283"/>
      <c r="C24" s="234"/>
      <c r="D24" s="430"/>
      <c r="E24" s="178">
        <v>2016</v>
      </c>
      <c r="F24" s="7"/>
      <c r="G24" s="7"/>
      <c r="H24" s="7"/>
      <c r="I24" s="7"/>
      <c r="J24" s="7"/>
      <c r="K24" s="235"/>
    </row>
    <row r="25" spans="1:26" ht="15">
      <c r="A25" s="432"/>
      <c r="B25" s="283"/>
      <c r="C25" s="234"/>
      <c r="D25" s="430"/>
      <c r="E25" s="178">
        <v>2017</v>
      </c>
      <c r="F25" s="7"/>
      <c r="G25" s="7"/>
      <c r="H25" s="7"/>
      <c r="I25" s="7"/>
      <c r="J25" s="7"/>
      <c r="K25" s="235"/>
    </row>
    <row r="26" spans="1:26" ht="15">
      <c r="A26" s="432"/>
      <c r="B26" s="283"/>
      <c r="C26" s="234"/>
      <c r="D26" s="430"/>
      <c r="E26" s="178">
        <v>2018</v>
      </c>
      <c r="F26" s="7"/>
      <c r="G26" s="7"/>
      <c r="H26" s="7"/>
      <c r="I26" s="7"/>
      <c r="J26" s="7"/>
      <c r="K26" s="235"/>
      <c r="L26" s="99"/>
    </row>
    <row r="27" spans="1:26" ht="15">
      <c r="A27" s="432"/>
      <c r="B27" s="283"/>
      <c r="C27" s="234"/>
      <c r="D27" s="430"/>
      <c r="E27" s="178">
        <v>2019</v>
      </c>
      <c r="F27" s="7"/>
      <c r="G27" s="7"/>
      <c r="H27" s="7"/>
      <c r="I27" s="7"/>
      <c r="J27" s="7"/>
      <c r="K27" s="235"/>
    </row>
    <row r="28" spans="1:26" ht="15">
      <c r="A28" s="432"/>
      <c r="B28" s="283"/>
      <c r="C28" s="234"/>
      <c r="D28" s="430"/>
      <c r="E28" s="178">
        <v>2020</v>
      </c>
      <c r="F28" s="7"/>
      <c r="G28" s="7"/>
      <c r="H28" s="7"/>
      <c r="I28" s="7"/>
      <c r="J28" s="7"/>
      <c r="K28" s="235"/>
    </row>
    <row r="29" spans="1:26" ht="15">
      <c r="A29" s="484"/>
      <c r="B29" s="284"/>
      <c r="C29" s="234"/>
      <c r="D29" s="431"/>
      <c r="E29" s="26" t="s">
        <v>18</v>
      </c>
      <c r="F29" s="9">
        <f>SUM(F23:F28)</f>
        <v>5858.9</v>
      </c>
      <c r="G29" s="10">
        <f>SUM(G23:G28)</f>
        <v>0</v>
      </c>
      <c r="H29" s="10">
        <f>SUM(H23:H28)</f>
        <v>0</v>
      </c>
      <c r="I29" s="10">
        <f>SUM(I23:I28)</f>
        <v>5858.9</v>
      </c>
      <c r="J29" s="10"/>
      <c r="K29" s="228"/>
    </row>
    <row r="30" spans="1:26" ht="14.25">
      <c r="A30" s="238" t="s">
        <v>20</v>
      </c>
      <c r="B30" s="362"/>
      <c r="C30" s="362"/>
      <c r="D30" s="362"/>
      <c r="E30" s="171"/>
      <c r="F30" s="11">
        <f>F22+F29</f>
        <v>129222.9</v>
      </c>
      <c r="G30" s="11">
        <f>G22+G29</f>
        <v>0</v>
      </c>
      <c r="H30" s="11">
        <f>H22+H29</f>
        <v>118986.5</v>
      </c>
      <c r="I30" s="11">
        <f>I22+I29</f>
        <v>10236.4</v>
      </c>
      <c r="J30" s="11">
        <f>J22+J29</f>
        <v>0</v>
      </c>
      <c r="K30" s="171"/>
      <c r="L30" s="483"/>
      <c r="M30" s="483"/>
      <c r="N30" s="483"/>
      <c r="O30" s="483"/>
      <c r="P30" s="483"/>
      <c r="Q30" s="483"/>
      <c r="R30" s="483"/>
      <c r="S30" s="483"/>
      <c r="T30" s="483"/>
      <c r="U30" s="483"/>
      <c r="V30" s="483"/>
      <c r="W30" s="483"/>
      <c r="X30" s="483"/>
      <c r="Y30" s="483"/>
      <c r="Z30" s="483"/>
    </row>
    <row r="31" spans="1:26" ht="14.25">
      <c r="A31" s="373" t="s">
        <v>233</v>
      </c>
      <c r="B31" s="339"/>
      <c r="C31" s="339"/>
      <c r="D31" s="339"/>
      <c r="E31" s="339"/>
      <c r="F31" s="339"/>
      <c r="G31" s="339"/>
      <c r="H31" s="339"/>
      <c r="I31" s="339"/>
      <c r="J31" s="339"/>
      <c r="K31" s="339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0"/>
      <c r="Y31" s="180"/>
      <c r="Z31" s="180"/>
    </row>
    <row r="32" spans="1:26" ht="12.75" customHeight="1">
      <c r="A32" s="280" t="s">
        <v>60</v>
      </c>
      <c r="B32" s="282" t="s">
        <v>120</v>
      </c>
      <c r="C32" s="233" t="s">
        <v>127</v>
      </c>
      <c r="D32" s="281" t="s">
        <v>218</v>
      </c>
      <c r="E32" s="178">
        <v>2015</v>
      </c>
      <c r="F32" s="2"/>
      <c r="G32" s="2"/>
      <c r="H32" s="2"/>
      <c r="I32" s="2"/>
      <c r="J32" s="2"/>
      <c r="K32" s="485" t="s">
        <v>113</v>
      </c>
    </row>
    <row r="33" spans="1:12">
      <c r="A33" s="280"/>
      <c r="B33" s="232"/>
      <c r="C33" s="234"/>
      <c r="D33" s="281"/>
      <c r="E33" s="178">
        <v>2016</v>
      </c>
      <c r="F33" s="2"/>
      <c r="G33" s="2"/>
      <c r="H33" s="2"/>
      <c r="I33" s="2"/>
      <c r="J33" s="2"/>
      <c r="K33" s="485"/>
    </row>
    <row r="34" spans="1:12">
      <c r="A34" s="280"/>
      <c r="B34" s="232"/>
      <c r="C34" s="234"/>
      <c r="D34" s="281"/>
      <c r="E34" s="178">
        <v>2017</v>
      </c>
      <c r="F34" s="2"/>
      <c r="G34" s="2"/>
      <c r="H34" s="2"/>
      <c r="I34" s="2"/>
      <c r="J34" s="2"/>
      <c r="K34" s="485"/>
      <c r="L34" s="99"/>
    </row>
    <row r="35" spans="1:12">
      <c r="A35" s="280"/>
      <c r="B35" s="232"/>
      <c r="C35" s="234"/>
      <c r="D35" s="281"/>
      <c r="E35" s="178">
        <v>2018</v>
      </c>
      <c r="F35" s="2"/>
      <c r="G35" s="2"/>
      <c r="H35" s="2"/>
      <c r="I35" s="2"/>
      <c r="J35" s="2"/>
      <c r="K35" s="485"/>
    </row>
    <row r="36" spans="1:12">
      <c r="A36" s="280"/>
      <c r="B36" s="232"/>
      <c r="C36" s="234"/>
      <c r="D36" s="281"/>
      <c r="E36" s="178">
        <v>2019</v>
      </c>
      <c r="F36" s="2"/>
      <c r="G36" s="2"/>
      <c r="H36" s="2"/>
      <c r="I36" s="2"/>
      <c r="J36" s="2"/>
      <c r="K36" s="485"/>
    </row>
    <row r="37" spans="1:12">
      <c r="A37" s="280"/>
      <c r="B37" s="232"/>
      <c r="C37" s="234"/>
      <c r="D37" s="281"/>
      <c r="E37" s="178">
        <v>2020</v>
      </c>
      <c r="F37" s="2"/>
      <c r="G37" s="2"/>
      <c r="H37" s="2"/>
      <c r="I37" s="2"/>
      <c r="J37" s="2"/>
      <c r="K37" s="485"/>
    </row>
    <row r="38" spans="1:12" ht="60" customHeight="1">
      <c r="A38" s="280"/>
      <c r="B38" s="232"/>
      <c r="C38" s="234"/>
      <c r="D38" s="281"/>
      <c r="E38" s="18" t="s">
        <v>18</v>
      </c>
      <c r="F38" s="2"/>
      <c r="G38" s="2"/>
      <c r="H38" s="2"/>
      <c r="I38" s="2"/>
      <c r="J38" s="2"/>
      <c r="K38" s="485"/>
    </row>
    <row r="39" spans="1:12" ht="12.75" customHeight="1">
      <c r="A39" s="280" t="s">
        <v>244</v>
      </c>
      <c r="B39" s="282" t="s">
        <v>121</v>
      </c>
      <c r="C39" s="233" t="s">
        <v>127</v>
      </c>
      <c r="D39" s="281" t="s">
        <v>408</v>
      </c>
      <c r="E39" s="178">
        <v>2015</v>
      </c>
      <c r="F39" s="7">
        <f>H39+I39</f>
        <v>505</v>
      </c>
      <c r="G39" s="7"/>
      <c r="H39" s="7">
        <v>500</v>
      </c>
      <c r="I39" s="7">
        <v>5</v>
      </c>
      <c r="J39" s="14"/>
      <c r="K39" s="485"/>
    </row>
    <row r="40" spans="1:12">
      <c r="A40" s="280"/>
      <c r="B40" s="283"/>
      <c r="C40" s="234"/>
      <c r="D40" s="281"/>
      <c r="E40" s="178">
        <v>2016</v>
      </c>
      <c r="F40" s="14">
        <f>SUM(G40:J40)</f>
        <v>0</v>
      </c>
      <c r="G40" s="14"/>
      <c r="H40" s="14">
        <v>0</v>
      </c>
      <c r="I40" s="14">
        <v>0</v>
      </c>
      <c r="J40" s="14"/>
      <c r="K40" s="485"/>
      <c r="L40" s="99"/>
    </row>
    <row r="41" spans="1:12">
      <c r="A41" s="280"/>
      <c r="B41" s="283"/>
      <c r="C41" s="234"/>
      <c r="D41" s="281"/>
      <c r="E41" s="178">
        <v>2017</v>
      </c>
      <c r="F41" s="14">
        <f>SUM(G41:J41)</f>
        <v>0</v>
      </c>
      <c r="G41" s="14"/>
      <c r="H41" s="14">
        <v>0</v>
      </c>
      <c r="I41" s="14">
        <v>0</v>
      </c>
      <c r="J41" s="14"/>
      <c r="K41" s="485"/>
    </row>
    <row r="42" spans="1:12" ht="16.5" customHeight="1">
      <c r="A42" s="280"/>
      <c r="B42" s="283"/>
      <c r="C42" s="234"/>
      <c r="D42" s="281"/>
      <c r="E42" s="178">
        <v>2018</v>
      </c>
      <c r="F42" s="14">
        <f>SUM(G42:J42)</f>
        <v>0</v>
      </c>
      <c r="G42" s="14"/>
      <c r="H42" s="14">
        <f>20165.4-20165.4</f>
        <v>0</v>
      </c>
      <c r="I42" s="14">
        <f>1062-1062</f>
        <v>0</v>
      </c>
      <c r="J42" s="14"/>
      <c r="K42" s="485"/>
      <c r="L42" s="99"/>
    </row>
    <row r="43" spans="1:12">
      <c r="A43" s="280"/>
      <c r="B43" s="283"/>
      <c r="C43" s="234"/>
      <c r="D43" s="281"/>
      <c r="E43" s="178">
        <v>2019</v>
      </c>
      <c r="F43" s="14">
        <f>SUM(G43:J43)</f>
        <v>0</v>
      </c>
      <c r="G43" s="14"/>
      <c r="H43" s="14">
        <v>0</v>
      </c>
      <c r="I43" s="14">
        <v>0</v>
      </c>
      <c r="J43" s="14"/>
      <c r="K43" s="485"/>
    </row>
    <row r="44" spans="1:12" ht="15" customHeight="1">
      <c r="A44" s="280"/>
      <c r="B44" s="283"/>
      <c r="C44" s="234"/>
      <c r="D44" s="281"/>
      <c r="E44" s="178">
        <v>2020</v>
      </c>
      <c r="F44" s="14">
        <f>SUM(G44:J44)</f>
        <v>0</v>
      </c>
      <c r="G44" s="14"/>
      <c r="H44" s="14">
        <v>0</v>
      </c>
      <c r="I44" s="14">
        <v>0</v>
      </c>
      <c r="J44" s="14"/>
      <c r="K44" s="485"/>
    </row>
    <row r="45" spans="1:12" ht="57" customHeight="1">
      <c r="A45" s="280"/>
      <c r="B45" s="283"/>
      <c r="C45" s="234"/>
      <c r="D45" s="281"/>
      <c r="E45" s="18" t="s">
        <v>18</v>
      </c>
      <c r="F45" s="8">
        <f>SUM(F39:F44)</f>
        <v>505</v>
      </c>
      <c r="G45" s="8">
        <f>SUM(G39:G44)</f>
        <v>0</v>
      </c>
      <c r="H45" s="8">
        <f>SUM(H39:H44)</f>
        <v>500</v>
      </c>
      <c r="I45" s="8">
        <f>SUM(I39:I44)</f>
        <v>5</v>
      </c>
      <c r="J45" s="14"/>
      <c r="K45" s="485"/>
    </row>
    <row r="46" spans="1:12">
      <c r="A46" s="280" t="s">
        <v>246</v>
      </c>
      <c r="B46" s="282" t="s">
        <v>260</v>
      </c>
      <c r="C46" s="233" t="s">
        <v>245</v>
      </c>
      <c r="D46" s="281" t="s">
        <v>408</v>
      </c>
      <c r="E46" s="178">
        <v>2016</v>
      </c>
      <c r="F46" s="14">
        <f t="shared" ref="F46:F48" si="0">SUM(G46:I46)</f>
        <v>0</v>
      </c>
      <c r="G46" s="14"/>
      <c r="H46" s="14">
        <f>7375.9-7375.9</f>
        <v>0</v>
      </c>
      <c r="I46" s="14">
        <f>74.5-74.5</f>
        <v>0</v>
      </c>
      <c r="J46" s="14"/>
      <c r="K46" s="485"/>
      <c r="L46" s="99"/>
    </row>
    <row r="47" spans="1:12" ht="15">
      <c r="A47" s="280"/>
      <c r="B47" s="282"/>
      <c r="C47" s="233"/>
      <c r="D47" s="281"/>
      <c r="E47" s="178">
        <v>2017</v>
      </c>
      <c r="F47" s="7">
        <f t="shared" si="0"/>
        <v>62.6</v>
      </c>
      <c r="G47" s="7"/>
      <c r="H47" s="7">
        <v>0</v>
      </c>
      <c r="I47" s="7">
        <v>62.6</v>
      </c>
      <c r="J47" s="14"/>
      <c r="K47" s="485"/>
      <c r="L47" s="99" t="s">
        <v>384</v>
      </c>
    </row>
    <row r="48" spans="1:12" ht="15">
      <c r="A48" s="280"/>
      <c r="B48" s="282"/>
      <c r="C48" s="233"/>
      <c r="D48" s="281"/>
      <c r="E48" s="178">
        <v>2018</v>
      </c>
      <c r="F48" s="7">
        <f t="shared" si="0"/>
        <v>7450.5</v>
      </c>
      <c r="G48" s="7"/>
      <c r="H48" s="7">
        <v>7376</v>
      </c>
      <c r="I48" s="7">
        <v>74.5</v>
      </c>
      <c r="J48" s="14"/>
      <c r="K48" s="485"/>
      <c r="L48" s="99"/>
    </row>
    <row r="49" spans="1:33" ht="67.5" customHeight="1">
      <c r="A49" s="280"/>
      <c r="B49" s="282"/>
      <c r="C49" s="233"/>
      <c r="D49" s="281"/>
      <c r="E49" s="18" t="s">
        <v>18</v>
      </c>
      <c r="F49" s="8">
        <f>SUM(F46:F48)</f>
        <v>7513.1</v>
      </c>
      <c r="G49" s="8">
        <f t="shared" ref="G49:I49" si="1">SUM(G46:G48)</f>
        <v>0</v>
      </c>
      <c r="H49" s="8">
        <f t="shared" si="1"/>
        <v>7376</v>
      </c>
      <c r="I49" s="8">
        <f t="shared" si="1"/>
        <v>137.1</v>
      </c>
      <c r="J49" s="14"/>
      <c r="K49" s="485"/>
      <c r="L49" s="99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</row>
    <row r="50" spans="1:33" ht="15">
      <c r="A50" s="280" t="s">
        <v>278</v>
      </c>
      <c r="B50" s="282" t="s">
        <v>261</v>
      </c>
      <c r="C50" s="233" t="s">
        <v>245</v>
      </c>
      <c r="D50" s="281" t="s">
        <v>408</v>
      </c>
      <c r="E50" s="178">
        <v>2017</v>
      </c>
      <c r="F50" s="7">
        <f t="shared" ref="F50" si="2">SUM(G50:I50)</f>
        <v>2075</v>
      </c>
      <c r="G50" s="7"/>
      <c r="H50" s="7">
        <f>7425-5425</f>
        <v>2000</v>
      </c>
      <c r="I50" s="7">
        <v>75</v>
      </c>
      <c r="J50" s="14"/>
      <c r="K50" s="485"/>
      <c r="L50" s="99"/>
    </row>
    <row r="51" spans="1:33" ht="15">
      <c r="A51" s="280"/>
      <c r="B51" s="282"/>
      <c r="C51" s="233"/>
      <c r="D51" s="281"/>
      <c r="E51" s="178">
        <v>2018</v>
      </c>
      <c r="F51" s="7">
        <f t="shared" ref="F51" si="3">SUM(G51:I51)</f>
        <v>10003</v>
      </c>
      <c r="G51" s="7"/>
      <c r="H51" s="7">
        <v>7717.5</v>
      </c>
      <c r="I51" s="7">
        <v>2285.5</v>
      </c>
      <c r="J51" s="14"/>
      <c r="K51" s="485"/>
      <c r="L51" s="99"/>
    </row>
    <row r="52" spans="1:33" ht="117" customHeight="1">
      <c r="A52" s="280"/>
      <c r="B52" s="282"/>
      <c r="C52" s="233"/>
      <c r="D52" s="281"/>
      <c r="E52" s="18" t="s">
        <v>18</v>
      </c>
      <c r="F52" s="8">
        <f>SUM(F50:F51)</f>
        <v>12078</v>
      </c>
      <c r="G52" s="8">
        <f>SUM(G50:G50)</f>
        <v>0</v>
      </c>
      <c r="H52" s="8">
        <f>SUM(H50:H51)</f>
        <v>9717.5</v>
      </c>
      <c r="I52" s="8">
        <f>SUM(I50:I51)</f>
        <v>2360.5</v>
      </c>
      <c r="J52" s="14"/>
      <c r="K52" s="485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</row>
    <row r="53" spans="1:33" ht="15">
      <c r="A53" s="280" t="s">
        <v>343</v>
      </c>
      <c r="B53" s="282" t="s">
        <v>407</v>
      </c>
      <c r="C53" s="233">
        <v>2017</v>
      </c>
      <c r="D53" s="281" t="s">
        <v>408</v>
      </c>
      <c r="E53" s="178">
        <v>2017</v>
      </c>
      <c r="F53" s="7">
        <f t="shared" ref="F53" si="4">SUM(G53:I53)</f>
        <v>1420.6</v>
      </c>
      <c r="G53" s="7"/>
      <c r="H53" s="7">
        <f>7375.9-7375.9</f>
        <v>0</v>
      </c>
      <c r="I53" s="7">
        <v>1420.6</v>
      </c>
      <c r="J53" s="14"/>
      <c r="K53" s="485"/>
      <c r="L53" s="99"/>
    </row>
    <row r="54" spans="1:33" ht="118.5" customHeight="1">
      <c r="A54" s="280"/>
      <c r="B54" s="282"/>
      <c r="C54" s="233"/>
      <c r="D54" s="281"/>
      <c r="E54" s="18" t="s">
        <v>18</v>
      </c>
      <c r="F54" s="8">
        <f>SUM(F53:F53)</f>
        <v>1420.6</v>
      </c>
      <c r="G54" s="8">
        <f>SUM(G53:G53)</f>
        <v>0</v>
      </c>
      <c r="H54" s="8">
        <f>SUM(H53:H53)</f>
        <v>0</v>
      </c>
      <c r="I54" s="8">
        <f>SUM(I53:I53)</f>
        <v>1420.6</v>
      </c>
      <c r="J54" s="14"/>
      <c r="K54" s="485"/>
      <c r="L54" s="99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</row>
    <row r="55" spans="1:33" ht="24" customHeight="1">
      <c r="A55" s="308" t="s">
        <v>21</v>
      </c>
      <c r="B55" s="308"/>
      <c r="C55" s="308"/>
      <c r="D55" s="308"/>
      <c r="E55" s="172"/>
      <c r="F55" s="8">
        <f>F38+F45+F49+F52+F54</f>
        <v>21516.699999999997</v>
      </c>
      <c r="G55" s="8">
        <f>G38+G45+G49+G52</f>
        <v>0</v>
      </c>
      <c r="H55" s="8">
        <f>H38+H45+H49+H52</f>
        <v>17593.5</v>
      </c>
      <c r="I55" s="8">
        <f>I38+I45+I49+I52+I53</f>
        <v>3923.2</v>
      </c>
      <c r="J55" s="30"/>
      <c r="K55" s="139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</row>
    <row r="56" spans="1:33" ht="24.75" customHeight="1">
      <c r="A56" s="305" t="s">
        <v>22</v>
      </c>
      <c r="B56" s="305"/>
      <c r="C56" s="305"/>
      <c r="D56" s="305"/>
      <c r="E56" s="305"/>
      <c r="F56" s="305"/>
      <c r="G56" s="305"/>
      <c r="H56" s="305"/>
      <c r="I56" s="305"/>
      <c r="J56" s="305"/>
      <c r="K56" s="305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8"/>
    </row>
    <row r="57" spans="1:33" ht="13.5" customHeight="1">
      <c r="A57" s="272" t="s">
        <v>119</v>
      </c>
      <c r="B57" s="224" t="s">
        <v>23</v>
      </c>
      <c r="C57" s="226" t="s">
        <v>127</v>
      </c>
      <c r="D57" s="227" t="s">
        <v>218</v>
      </c>
      <c r="E57" s="174">
        <v>2015</v>
      </c>
      <c r="F57" s="144">
        <f>SUM(G57:I57)</f>
        <v>4863.4000000000005</v>
      </c>
      <c r="G57" s="144"/>
      <c r="H57" s="144">
        <v>4814.8</v>
      </c>
      <c r="I57" s="144">
        <v>48.6</v>
      </c>
      <c r="J57" s="12"/>
      <c r="K57" s="227" t="s">
        <v>136</v>
      </c>
      <c r="O57" s="107"/>
    </row>
    <row r="58" spans="1:33" ht="15">
      <c r="A58" s="273"/>
      <c r="B58" s="283"/>
      <c r="C58" s="234"/>
      <c r="D58" s="235"/>
      <c r="E58" s="178">
        <v>2016</v>
      </c>
      <c r="F58" s="7"/>
      <c r="G58" s="7"/>
      <c r="H58" s="7"/>
      <c r="I58" s="7"/>
      <c r="J58" s="14"/>
      <c r="K58" s="235"/>
    </row>
    <row r="59" spans="1:33" ht="15">
      <c r="A59" s="273"/>
      <c r="B59" s="283"/>
      <c r="C59" s="234"/>
      <c r="D59" s="235"/>
      <c r="E59" s="178">
        <v>2017</v>
      </c>
      <c r="F59" s="7"/>
      <c r="G59" s="7"/>
      <c r="H59" s="7"/>
      <c r="I59" s="7"/>
      <c r="J59" s="14"/>
      <c r="K59" s="235"/>
      <c r="L59" s="99"/>
    </row>
    <row r="60" spans="1:33" ht="15">
      <c r="A60" s="273"/>
      <c r="B60" s="283"/>
      <c r="C60" s="234"/>
      <c r="D60" s="235"/>
      <c r="E60" s="178">
        <v>2018</v>
      </c>
      <c r="F60" s="7"/>
      <c r="G60" s="7"/>
      <c r="H60" s="7"/>
      <c r="I60" s="7"/>
      <c r="J60" s="14"/>
      <c r="K60" s="235"/>
    </row>
    <row r="61" spans="1:33" ht="15">
      <c r="A61" s="273"/>
      <c r="B61" s="283"/>
      <c r="C61" s="234"/>
      <c r="D61" s="235"/>
      <c r="E61" s="178">
        <v>2019</v>
      </c>
      <c r="F61" s="7"/>
      <c r="G61" s="7"/>
      <c r="H61" s="7"/>
      <c r="I61" s="7"/>
      <c r="J61" s="14"/>
      <c r="K61" s="235"/>
    </row>
    <row r="62" spans="1:33" ht="15">
      <c r="A62" s="273"/>
      <c r="B62" s="283"/>
      <c r="C62" s="234"/>
      <c r="D62" s="235"/>
      <c r="E62" s="178">
        <v>2020</v>
      </c>
      <c r="F62" s="7"/>
      <c r="G62" s="7"/>
      <c r="H62" s="7"/>
      <c r="I62" s="7"/>
      <c r="J62" s="14"/>
      <c r="K62" s="235"/>
    </row>
    <row r="63" spans="1:33" ht="47.25" customHeight="1">
      <c r="A63" s="273"/>
      <c r="B63" s="284"/>
      <c r="C63" s="290"/>
      <c r="D63" s="228"/>
      <c r="E63" s="18" t="s">
        <v>18</v>
      </c>
      <c r="F63" s="8">
        <f>SUM(F57:F62)</f>
        <v>4863.4000000000005</v>
      </c>
      <c r="G63" s="8"/>
      <c r="H63" s="8">
        <f>SUM(H57:H62)</f>
        <v>4814.8</v>
      </c>
      <c r="I63" s="8">
        <f>SUM(I57:I62)</f>
        <v>48.6</v>
      </c>
      <c r="J63" s="14"/>
      <c r="K63" s="235"/>
    </row>
    <row r="64" spans="1:33" ht="12.75" customHeight="1">
      <c r="A64" s="273" t="s">
        <v>279</v>
      </c>
      <c r="B64" s="282" t="s">
        <v>24</v>
      </c>
      <c r="C64" s="233">
        <v>2015</v>
      </c>
      <c r="D64" s="227" t="s">
        <v>218</v>
      </c>
      <c r="E64" s="178">
        <v>2015</v>
      </c>
      <c r="F64" s="7">
        <f>SUM(G64:I64)</f>
        <v>1538.4</v>
      </c>
      <c r="G64" s="7"/>
      <c r="H64" s="7"/>
      <c r="I64" s="7">
        <v>1538.4</v>
      </c>
      <c r="J64" s="14"/>
      <c r="K64" s="235"/>
    </row>
    <row r="65" spans="1:19" ht="15">
      <c r="A65" s="273"/>
      <c r="B65" s="283"/>
      <c r="C65" s="234"/>
      <c r="D65" s="235"/>
      <c r="E65" s="178">
        <v>2016</v>
      </c>
      <c r="F65" s="7"/>
      <c r="G65" s="7"/>
      <c r="H65" s="7"/>
      <c r="I65" s="7"/>
      <c r="J65" s="14"/>
      <c r="K65" s="235"/>
      <c r="L65" s="99"/>
    </row>
    <row r="66" spans="1:19" ht="15">
      <c r="A66" s="273"/>
      <c r="B66" s="283"/>
      <c r="C66" s="234"/>
      <c r="D66" s="235"/>
      <c r="E66" s="178">
        <v>2017</v>
      </c>
      <c r="F66" s="7"/>
      <c r="G66" s="7"/>
      <c r="H66" s="7"/>
      <c r="I66" s="7"/>
      <c r="J66" s="14"/>
      <c r="K66" s="235"/>
    </row>
    <row r="67" spans="1:19" ht="15">
      <c r="A67" s="273"/>
      <c r="B67" s="283"/>
      <c r="C67" s="234"/>
      <c r="D67" s="235"/>
      <c r="E67" s="178">
        <v>2018</v>
      </c>
      <c r="F67" s="7"/>
      <c r="G67" s="7"/>
      <c r="H67" s="7"/>
      <c r="I67" s="7"/>
      <c r="J67" s="14"/>
      <c r="K67" s="235"/>
    </row>
    <row r="68" spans="1:19" ht="15">
      <c r="A68" s="273"/>
      <c r="B68" s="283"/>
      <c r="C68" s="234"/>
      <c r="D68" s="235"/>
      <c r="E68" s="178">
        <v>2019</v>
      </c>
      <c r="F68" s="7"/>
      <c r="G68" s="7"/>
      <c r="H68" s="7"/>
      <c r="I68" s="7"/>
      <c r="J68" s="14"/>
      <c r="K68" s="235"/>
    </row>
    <row r="69" spans="1:19" ht="15">
      <c r="A69" s="273"/>
      <c r="B69" s="283"/>
      <c r="C69" s="234"/>
      <c r="D69" s="235"/>
      <c r="E69" s="178">
        <v>2020</v>
      </c>
      <c r="F69" s="7"/>
      <c r="G69" s="7"/>
      <c r="H69" s="7"/>
      <c r="I69" s="7"/>
      <c r="J69" s="14"/>
      <c r="K69" s="235"/>
    </row>
    <row r="70" spans="1:19" ht="13.5" customHeight="1">
      <c r="A70" s="273"/>
      <c r="B70" s="284"/>
      <c r="C70" s="290"/>
      <c r="D70" s="228"/>
      <c r="E70" s="18" t="s">
        <v>18</v>
      </c>
      <c r="F70" s="8">
        <f>SUM(F64:F69)</f>
        <v>1538.4</v>
      </c>
      <c r="G70" s="8"/>
      <c r="H70" s="8"/>
      <c r="I70" s="8">
        <f>SUM(I64:I69)</f>
        <v>1538.4</v>
      </c>
      <c r="J70" s="14"/>
      <c r="K70" s="228"/>
    </row>
    <row r="71" spans="1:19" ht="15">
      <c r="A71" s="273" t="s">
        <v>280</v>
      </c>
      <c r="B71" s="282" t="s">
        <v>25</v>
      </c>
      <c r="C71" s="225" t="s">
        <v>127</v>
      </c>
      <c r="D71" s="227" t="s">
        <v>218</v>
      </c>
      <c r="E71" s="178">
        <v>2015</v>
      </c>
      <c r="F71" s="7">
        <f t="shared" ref="F71:F76" si="5">SUM(G71:J71)</f>
        <v>21031.8</v>
      </c>
      <c r="G71" s="7"/>
      <c r="H71" s="7"/>
      <c r="I71" s="7">
        <f>22881.8-1000-850</f>
        <v>21031.8</v>
      </c>
      <c r="J71" s="14"/>
      <c r="K71" s="227" t="s">
        <v>138</v>
      </c>
    </row>
    <row r="72" spans="1:19" ht="15">
      <c r="A72" s="273"/>
      <c r="B72" s="283"/>
      <c r="C72" s="229"/>
      <c r="D72" s="235"/>
      <c r="E72" s="178">
        <v>2016</v>
      </c>
      <c r="F72" s="7">
        <f t="shared" si="5"/>
        <v>21444.400000000001</v>
      </c>
      <c r="G72" s="7"/>
      <c r="H72" s="7"/>
      <c r="I72" s="7">
        <f>22597.2-180.3-509-463.5</f>
        <v>21444.400000000001</v>
      </c>
      <c r="J72" s="14"/>
      <c r="K72" s="291"/>
      <c r="L72" s="28"/>
      <c r="M72" s="28"/>
      <c r="N72" s="113" t="s">
        <v>342</v>
      </c>
      <c r="O72" s="115"/>
      <c r="P72" s="113" t="s">
        <v>341</v>
      </c>
      <c r="Q72" s="114"/>
      <c r="R72" s="114"/>
      <c r="S72" s="115"/>
    </row>
    <row r="73" spans="1:19" ht="15">
      <c r="A73" s="273"/>
      <c r="B73" s="283"/>
      <c r="C73" s="229"/>
      <c r="D73" s="235"/>
      <c r="E73" s="178">
        <v>2017</v>
      </c>
      <c r="F73" s="7">
        <f t="shared" si="5"/>
        <v>44377.700000000004</v>
      </c>
      <c r="G73" s="7"/>
      <c r="H73" s="7"/>
      <c r="I73" s="7">
        <f>21166.7+19807.9+3403.1</f>
        <v>44377.700000000004</v>
      </c>
      <c r="J73" s="14"/>
      <c r="K73" s="291"/>
      <c r="L73" s="99" t="s">
        <v>371</v>
      </c>
      <c r="M73" s="106"/>
      <c r="N73" s="108" t="s">
        <v>338</v>
      </c>
      <c r="O73" s="116">
        <v>21166.7</v>
      </c>
      <c r="P73" s="108" t="s">
        <v>339</v>
      </c>
      <c r="Q73" s="110">
        <v>11932.5</v>
      </c>
      <c r="R73" s="111" t="s">
        <v>340</v>
      </c>
      <c r="S73" s="112">
        <v>7875.4</v>
      </c>
    </row>
    <row r="74" spans="1:19" ht="15">
      <c r="A74" s="273"/>
      <c r="B74" s="283"/>
      <c r="C74" s="229"/>
      <c r="D74" s="235"/>
      <c r="E74" s="178">
        <v>2018</v>
      </c>
      <c r="F74" s="7">
        <f t="shared" si="5"/>
        <v>47082.6</v>
      </c>
      <c r="G74" s="7"/>
      <c r="H74" s="7"/>
      <c r="I74" s="7">
        <v>47082.6</v>
      </c>
      <c r="J74" s="14"/>
      <c r="K74" s="235"/>
      <c r="L74" s="99"/>
      <c r="M74" s="106"/>
    </row>
    <row r="75" spans="1:19" ht="15">
      <c r="A75" s="273"/>
      <c r="B75" s="283"/>
      <c r="C75" s="229"/>
      <c r="D75" s="235"/>
      <c r="E75" s="178">
        <v>2019</v>
      </c>
      <c r="F75" s="7">
        <f t="shared" si="5"/>
        <v>0</v>
      </c>
      <c r="G75" s="7"/>
      <c r="H75" s="7"/>
      <c r="I75" s="7">
        <v>0</v>
      </c>
      <c r="J75" s="14"/>
      <c r="K75" s="235"/>
      <c r="L75" s="99"/>
      <c r="M75" s="106"/>
    </row>
    <row r="76" spans="1:19" ht="15">
      <c r="A76" s="273"/>
      <c r="B76" s="283"/>
      <c r="C76" s="229"/>
      <c r="D76" s="235"/>
      <c r="E76" s="178">
        <v>2020</v>
      </c>
      <c r="F76" s="7">
        <f t="shared" si="5"/>
        <v>0</v>
      </c>
      <c r="G76" s="7"/>
      <c r="H76" s="7"/>
      <c r="I76" s="7">
        <v>0</v>
      </c>
      <c r="J76" s="14"/>
      <c r="K76" s="235"/>
      <c r="M76" s="28"/>
    </row>
    <row r="77" spans="1:19" ht="38.25" customHeight="1">
      <c r="A77" s="273"/>
      <c r="B77" s="283"/>
      <c r="C77" s="230"/>
      <c r="D77" s="228"/>
      <c r="E77" s="18" t="s">
        <v>18</v>
      </c>
      <c r="F77" s="8">
        <f>SUM(F71:F76)</f>
        <v>133936.5</v>
      </c>
      <c r="G77" s="8"/>
      <c r="H77" s="8"/>
      <c r="I77" s="8">
        <f>SUM(I71:I76)</f>
        <v>133936.5</v>
      </c>
      <c r="J77" s="13"/>
      <c r="K77" s="228"/>
    </row>
    <row r="78" spans="1:19" ht="15">
      <c r="A78" s="273" t="s">
        <v>281</v>
      </c>
      <c r="B78" s="282" t="s">
        <v>262</v>
      </c>
      <c r="C78" s="225" t="s">
        <v>127</v>
      </c>
      <c r="D78" s="227" t="s">
        <v>218</v>
      </c>
      <c r="E78" s="178">
        <v>2017</v>
      </c>
      <c r="F78" s="7">
        <f t="shared" ref="F78:F81" si="6">SUM(G78:J78)</f>
        <v>10971.099999999999</v>
      </c>
      <c r="G78" s="7"/>
      <c r="H78" s="7">
        <f>20253.8-8128.5-1154.2</f>
        <v>10971.099999999999</v>
      </c>
      <c r="I78" s="7"/>
      <c r="J78" s="14"/>
      <c r="K78" s="227" t="s">
        <v>274</v>
      </c>
      <c r="L78" s="99" t="s">
        <v>330</v>
      </c>
      <c r="M78" s="4">
        <v>8128.5</v>
      </c>
      <c r="N78" s="99"/>
    </row>
    <row r="79" spans="1:19" ht="15">
      <c r="A79" s="273"/>
      <c r="B79" s="283"/>
      <c r="C79" s="229"/>
      <c r="D79" s="235"/>
      <c r="E79" s="178">
        <v>2018</v>
      </c>
      <c r="F79" s="7">
        <f t="shared" si="6"/>
        <v>17346.3</v>
      </c>
      <c r="G79" s="7"/>
      <c r="H79" s="7">
        <v>17346.3</v>
      </c>
      <c r="I79" s="7"/>
      <c r="J79" s="14"/>
      <c r="K79" s="235"/>
    </row>
    <row r="80" spans="1:19" ht="15">
      <c r="A80" s="273"/>
      <c r="B80" s="283"/>
      <c r="C80" s="229"/>
      <c r="D80" s="235"/>
      <c r="E80" s="178">
        <v>2019</v>
      </c>
      <c r="F80" s="7">
        <f t="shared" si="6"/>
        <v>17346.3</v>
      </c>
      <c r="G80" s="7"/>
      <c r="H80" s="7">
        <v>17346.3</v>
      </c>
      <c r="I80" s="7"/>
      <c r="J80" s="14"/>
      <c r="K80" s="235"/>
      <c r="M80" s="106"/>
    </row>
    <row r="81" spans="1:36" ht="15">
      <c r="A81" s="273"/>
      <c r="B81" s="283"/>
      <c r="C81" s="229"/>
      <c r="D81" s="235"/>
      <c r="E81" s="178">
        <v>2020</v>
      </c>
      <c r="F81" s="7">
        <f t="shared" si="6"/>
        <v>17346.3</v>
      </c>
      <c r="G81" s="7"/>
      <c r="H81" s="7">
        <v>17346.3</v>
      </c>
      <c r="I81" s="7"/>
      <c r="J81" s="14"/>
      <c r="K81" s="235"/>
      <c r="L81" s="99"/>
      <c r="M81" s="106"/>
    </row>
    <row r="82" spans="1:36" ht="51.75" customHeight="1">
      <c r="A82" s="273"/>
      <c r="B82" s="283"/>
      <c r="C82" s="230"/>
      <c r="D82" s="228"/>
      <c r="E82" s="18" t="s">
        <v>18</v>
      </c>
      <c r="F82" s="8">
        <f>SUM(F78:F81)</f>
        <v>63010</v>
      </c>
      <c r="G82" s="8"/>
      <c r="H82" s="8">
        <f t="shared" ref="H82" si="7">SUM(H78:H81)</f>
        <v>63010</v>
      </c>
      <c r="I82" s="8"/>
      <c r="J82" s="13"/>
      <c r="K82" s="228"/>
    </row>
    <row r="83" spans="1:36" ht="14.25">
      <c r="A83" s="308" t="s">
        <v>26</v>
      </c>
      <c r="B83" s="308"/>
      <c r="C83" s="308"/>
      <c r="D83" s="308"/>
      <c r="E83" s="172"/>
      <c r="F83" s="8">
        <f>F63+F70+F77+F82</f>
        <v>203348.3</v>
      </c>
      <c r="G83" s="8"/>
      <c r="H83" s="8">
        <f>H63+H82</f>
        <v>67824.800000000003</v>
      </c>
      <c r="I83" s="8">
        <f>I63+I70+I77</f>
        <v>135523.5</v>
      </c>
      <c r="J83" s="30"/>
      <c r="K83" s="172"/>
    </row>
    <row r="84" spans="1:36" ht="15" thickBot="1">
      <c r="A84" s="373" t="s">
        <v>27</v>
      </c>
      <c r="B84" s="339"/>
      <c r="C84" s="339"/>
      <c r="D84" s="339"/>
      <c r="E84" s="339"/>
      <c r="F84" s="339"/>
      <c r="G84" s="339"/>
      <c r="H84" s="339"/>
      <c r="I84" s="339"/>
      <c r="J84" s="339"/>
      <c r="K84" s="339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2"/>
    </row>
    <row r="85" spans="1:36" ht="15">
      <c r="A85" s="272" t="s">
        <v>282</v>
      </c>
      <c r="B85" s="480" t="s">
        <v>135</v>
      </c>
      <c r="C85" s="225" t="s">
        <v>127</v>
      </c>
      <c r="D85" s="227" t="s">
        <v>218</v>
      </c>
      <c r="E85" s="174">
        <v>2015</v>
      </c>
      <c r="F85" s="144">
        <f>SUM(G85:I85)</f>
        <v>2018.1000000000001</v>
      </c>
      <c r="G85" s="144"/>
      <c r="H85" s="144">
        <v>1997.9</v>
      </c>
      <c r="I85" s="144">
        <v>20.2</v>
      </c>
      <c r="J85" s="12"/>
      <c r="K85" s="227" t="s">
        <v>139</v>
      </c>
      <c r="L85" s="180"/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</row>
    <row r="86" spans="1:36" ht="15">
      <c r="A86" s="273"/>
      <c r="B86" s="481"/>
      <c r="C86" s="229"/>
      <c r="D86" s="235"/>
      <c r="E86" s="178">
        <v>2016</v>
      </c>
      <c r="F86" s="7"/>
      <c r="G86" s="7"/>
      <c r="H86" s="7"/>
      <c r="I86" s="7"/>
      <c r="J86" s="14"/>
      <c r="K86" s="235"/>
      <c r="L86" s="180"/>
      <c r="M86" s="180"/>
      <c r="N86" s="180"/>
      <c r="O86" s="180"/>
      <c r="P86" s="180"/>
      <c r="Q86" s="180"/>
      <c r="R86" s="180"/>
      <c r="S86" s="180"/>
      <c r="T86" s="180"/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  <c r="AF86" s="180"/>
      <c r="AG86" s="180"/>
      <c r="AH86" s="180"/>
      <c r="AI86" s="180"/>
      <c r="AJ86" s="180"/>
    </row>
    <row r="87" spans="1:36" ht="15">
      <c r="A87" s="273"/>
      <c r="B87" s="481"/>
      <c r="C87" s="229"/>
      <c r="D87" s="235"/>
      <c r="E87" s="178">
        <v>2017</v>
      </c>
      <c r="F87" s="7">
        <f>SUM(G87:I87)</f>
        <v>0</v>
      </c>
      <c r="G87" s="7"/>
      <c r="H87" s="7">
        <f>23675-23675</f>
        <v>0</v>
      </c>
      <c r="I87" s="7">
        <f>239.1-239.1</f>
        <v>0</v>
      </c>
      <c r="J87" s="14"/>
      <c r="K87" s="235"/>
      <c r="L87" s="179"/>
      <c r="M87" s="180"/>
      <c r="N87" s="180"/>
      <c r="O87" s="180"/>
      <c r="P87" s="180"/>
      <c r="Q87" s="180"/>
      <c r="R87" s="180"/>
      <c r="S87" s="180"/>
      <c r="T87" s="180"/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  <c r="AF87" s="180"/>
      <c r="AG87" s="180"/>
      <c r="AH87" s="180"/>
      <c r="AI87" s="180"/>
      <c r="AJ87" s="180"/>
    </row>
    <row r="88" spans="1:36" ht="15">
      <c r="A88" s="273"/>
      <c r="B88" s="481"/>
      <c r="C88" s="229"/>
      <c r="D88" s="235"/>
      <c r="E88" s="178">
        <v>2018</v>
      </c>
      <c r="F88" s="7"/>
      <c r="G88" s="7"/>
      <c r="H88" s="7"/>
      <c r="I88" s="7"/>
      <c r="J88" s="14"/>
      <c r="K88" s="235"/>
      <c r="L88" s="99"/>
      <c r="M88" s="180"/>
      <c r="N88" s="180"/>
      <c r="O88" s="180"/>
      <c r="P88" s="180"/>
      <c r="Q88" s="180"/>
      <c r="R88" s="180"/>
      <c r="S88" s="180"/>
      <c r="T88" s="180"/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  <c r="AF88" s="180"/>
      <c r="AG88" s="180"/>
      <c r="AH88" s="180"/>
      <c r="AI88" s="180"/>
      <c r="AJ88" s="180"/>
    </row>
    <row r="89" spans="1:36" ht="15">
      <c r="A89" s="273"/>
      <c r="B89" s="481"/>
      <c r="C89" s="229"/>
      <c r="D89" s="235"/>
      <c r="E89" s="178">
        <v>2019</v>
      </c>
      <c r="F89" s="7"/>
      <c r="G89" s="7"/>
      <c r="H89" s="7"/>
      <c r="I89" s="7"/>
      <c r="J89" s="14"/>
      <c r="K89" s="235"/>
      <c r="L89" s="180"/>
      <c r="M89" s="180"/>
      <c r="N89" s="180"/>
      <c r="O89" s="180"/>
      <c r="P89" s="180"/>
      <c r="Q89" s="180"/>
      <c r="R89" s="180"/>
      <c r="S89" s="180"/>
      <c r="T89" s="180"/>
      <c r="U89" s="180"/>
      <c r="V89" s="180"/>
      <c r="W89" s="180"/>
      <c r="X89" s="180"/>
      <c r="Y89" s="180"/>
      <c r="Z89" s="180"/>
      <c r="AA89" s="180"/>
      <c r="AB89" s="180"/>
      <c r="AC89" s="180"/>
      <c r="AD89" s="180"/>
      <c r="AE89" s="180"/>
      <c r="AF89" s="180"/>
      <c r="AG89" s="180"/>
      <c r="AH89" s="180"/>
      <c r="AI89" s="180"/>
      <c r="AJ89" s="180"/>
    </row>
    <row r="90" spans="1:36" ht="15">
      <c r="A90" s="273"/>
      <c r="B90" s="481"/>
      <c r="C90" s="229"/>
      <c r="D90" s="235"/>
      <c r="E90" s="178">
        <v>2020</v>
      </c>
      <c r="F90" s="7"/>
      <c r="G90" s="7"/>
      <c r="H90" s="7"/>
      <c r="I90" s="7"/>
      <c r="J90" s="14"/>
      <c r="K90" s="235"/>
      <c r="L90" s="180"/>
      <c r="M90" s="180"/>
      <c r="N90" s="180"/>
      <c r="O90" s="180"/>
      <c r="P90" s="180"/>
      <c r="Q90" s="180"/>
      <c r="R90" s="180"/>
      <c r="S90" s="180"/>
      <c r="T90" s="180"/>
      <c r="U90" s="180"/>
      <c r="V90" s="180"/>
      <c r="W90" s="180"/>
      <c r="X90" s="180"/>
      <c r="Y90" s="180"/>
      <c r="Z90" s="180"/>
      <c r="AA90" s="180"/>
      <c r="AB90" s="180"/>
      <c r="AC90" s="180"/>
      <c r="AD90" s="180"/>
      <c r="AE90" s="180"/>
      <c r="AF90" s="180"/>
      <c r="AG90" s="180"/>
      <c r="AH90" s="180"/>
      <c r="AI90" s="180"/>
      <c r="AJ90" s="180"/>
    </row>
    <row r="91" spans="1:36" ht="30" customHeight="1">
      <c r="A91" s="273"/>
      <c r="B91" s="482"/>
      <c r="C91" s="230"/>
      <c r="D91" s="228"/>
      <c r="E91" s="18" t="s">
        <v>18</v>
      </c>
      <c r="F91" s="8">
        <f>SUM(G91:I91)</f>
        <v>2018.1000000000001</v>
      </c>
      <c r="G91" s="8"/>
      <c r="H91" s="8">
        <f>SUM(H85:H89)</f>
        <v>1997.9</v>
      </c>
      <c r="I91" s="8">
        <f>SUM(I85:I89)</f>
        <v>20.2</v>
      </c>
      <c r="J91" s="14"/>
      <c r="K91" s="228"/>
      <c r="L91" s="180"/>
      <c r="M91" s="180"/>
      <c r="N91" s="180"/>
      <c r="O91" s="180"/>
      <c r="P91" s="180"/>
      <c r="Q91" s="180"/>
      <c r="R91" s="180"/>
      <c r="S91" s="180"/>
      <c r="T91" s="180"/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  <c r="AF91" s="180"/>
      <c r="AG91" s="180"/>
      <c r="AH91" s="180"/>
      <c r="AI91" s="180"/>
      <c r="AJ91" s="180"/>
    </row>
    <row r="92" spans="1:36" ht="15" customHeight="1">
      <c r="A92" s="435" t="s">
        <v>283</v>
      </c>
      <c r="B92" s="242" t="s">
        <v>248</v>
      </c>
      <c r="C92" s="225" t="s">
        <v>217</v>
      </c>
      <c r="D92" s="227" t="s">
        <v>218</v>
      </c>
      <c r="E92" s="174">
        <v>2015</v>
      </c>
      <c r="F92" s="12"/>
      <c r="G92" s="12"/>
      <c r="H92" s="12"/>
      <c r="I92" s="12"/>
      <c r="J92" s="12"/>
      <c r="K92" s="227" t="s">
        <v>140</v>
      </c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0"/>
      <c r="AH92" s="180"/>
      <c r="AI92" s="180"/>
      <c r="AJ92" s="180"/>
    </row>
    <row r="93" spans="1:36" ht="15" customHeight="1">
      <c r="A93" s="436"/>
      <c r="B93" s="243"/>
      <c r="C93" s="241"/>
      <c r="D93" s="235"/>
      <c r="E93" s="178">
        <v>2016</v>
      </c>
      <c r="F93" s="144">
        <f>SUM(G93:J93)</f>
        <v>7379.4</v>
      </c>
      <c r="G93" s="7"/>
      <c r="H93" s="7"/>
      <c r="I93" s="7">
        <f>1500+4748.2+1131.2</f>
        <v>7379.4</v>
      </c>
      <c r="J93" s="14"/>
      <c r="K93" s="235"/>
      <c r="L93" s="179"/>
      <c r="M93" s="179"/>
      <c r="N93" s="179"/>
      <c r="O93" s="179"/>
      <c r="P93" s="180"/>
      <c r="Q93" s="180"/>
      <c r="R93" s="180"/>
      <c r="S93" s="180"/>
      <c r="T93" s="180"/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  <c r="AF93" s="180"/>
      <c r="AG93" s="180"/>
      <c r="AH93" s="180"/>
      <c r="AI93" s="180"/>
      <c r="AJ93" s="180"/>
    </row>
    <row r="94" spans="1:36" ht="12.75" customHeight="1">
      <c r="A94" s="436"/>
      <c r="B94" s="243"/>
      <c r="C94" s="241"/>
      <c r="D94" s="235"/>
      <c r="E94" s="178">
        <v>2017</v>
      </c>
      <c r="F94" s="144">
        <f>SUM(G94:J94)</f>
        <v>3628</v>
      </c>
      <c r="G94" s="7"/>
      <c r="H94" s="7"/>
      <c r="I94" s="7">
        <v>3628</v>
      </c>
      <c r="J94" s="14"/>
      <c r="K94" s="235"/>
      <c r="L94" s="179"/>
      <c r="M94" s="309"/>
      <c r="N94" s="309"/>
      <c r="O94" s="309"/>
      <c r="P94" s="180"/>
      <c r="Q94" s="180"/>
      <c r="R94" s="180"/>
      <c r="S94" s="180"/>
      <c r="T94" s="180"/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  <c r="AF94" s="180"/>
      <c r="AG94" s="180"/>
      <c r="AH94" s="180"/>
      <c r="AI94" s="180"/>
      <c r="AJ94" s="180"/>
    </row>
    <row r="95" spans="1:36" ht="12" customHeight="1">
      <c r="A95" s="436"/>
      <c r="B95" s="243"/>
      <c r="C95" s="241"/>
      <c r="D95" s="235"/>
      <c r="E95" s="178">
        <v>2018</v>
      </c>
      <c r="F95" s="144">
        <f>SUM(G95:J95)</f>
        <v>1000</v>
      </c>
      <c r="G95" s="7"/>
      <c r="H95" s="7"/>
      <c r="I95" s="7">
        <v>1000</v>
      </c>
      <c r="J95" s="14"/>
      <c r="K95" s="235"/>
      <c r="L95" s="99"/>
      <c r="M95" s="179"/>
      <c r="N95" s="179"/>
      <c r="O95" s="179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180"/>
      <c r="AH95" s="180"/>
      <c r="AI95" s="180"/>
      <c r="AJ95" s="180"/>
    </row>
    <row r="96" spans="1:36" ht="14.25" customHeight="1">
      <c r="A96" s="436"/>
      <c r="B96" s="243"/>
      <c r="C96" s="241"/>
      <c r="D96" s="235"/>
      <c r="E96" s="178">
        <v>2019</v>
      </c>
      <c r="F96" s="144">
        <f>SUM(G96:J96)</f>
        <v>0</v>
      </c>
      <c r="G96" s="7"/>
      <c r="H96" s="7"/>
      <c r="I96" s="7">
        <v>0</v>
      </c>
      <c r="J96" s="14"/>
      <c r="K96" s="235"/>
      <c r="L96" s="179"/>
      <c r="M96" s="179"/>
      <c r="N96" s="179"/>
      <c r="O96" s="179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  <c r="AF96" s="180"/>
      <c r="AG96" s="180"/>
      <c r="AH96" s="180"/>
      <c r="AI96" s="180"/>
      <c r="AJ96" s="180"/>
    </row>
    <row r="97" spans="1:36" ht="12" customHeight="1">
      <c r="A97" s="436"/>
      <c r="B97" s="243"/>
      <c r="C97" s="241"/>
      <c r="D97" s="235"/>
      <c r="E97" s="178">
        <v>2020</v>
      </c>
      <c r="F97" s="7">
        <f>SUM(G97:J97)</f>
        <v>0</v>
      </c>
      <c r="G97" s="7"/>
      <c r="H97" s="7"/>
      <c r="I97" s="7">
        <v>0</v>
      </c>
      <c r="J97" s="14"/>
      <c r="K97" s="235"/>
      <c r="L97" s="179"/>
      <c r="M97" s="179"/>
      <c r="N97" s="179"/>
      <c r="O97" s="179"/>
      <c r="P97" s="180"/>
      <c r="Q97" s="180"/>
      <c r="R97" s="180"/>
      <c r="S97" s="180"/>
      <c r="T97" s="180"/>
      <c r="U97" s="180"/>
      <c r="V97" s="180"/>
      <c r="W97" s="180"/>
      <c r="X97" s="180"/>
      <c r="Y97" s="180"/>
      <c r="Z97" s="180"/>
      <c r="AA97" s="180"/>
      <c r="AB97" s="180"/>
      <c r="AC97" s="180"/>
      <c r="AD97" s="180"/>
      <c r="AE97" s="180"/>
      <c r="AF97" s="180"/>
      <c r="AG97" s="180"/>
      <c r="AH97" s="180"/>
      <c r="AI97" s="180"/>
      <c r="AJ97" s="180"/>
    </row>
    <row r="98" spans="1:36" ht="15" customHeight="1">
      <c r="A98" s="437"/>
      <c r="B98" s="244"/>
      <c r="C98" s="226"/>
      <c r="D98" s="228"/>
      <c r="E98" s="18" t="s">
        <v>18</v>
      </c>
      <c r="F98" s="8">
        <f>SUM(G98:I98)</f>
        <v>12007.4</v>
      </c>
      <c r="G98" s="8"/>
      <c r="H98" s="8">
        <f>SUM(H92:H96)</f>
        <v>0</v>
      </c>
      <c r="I98" s="8">
        <f>SUM(I92:I97)</f>
        <v>12007.4</v>
      </c>
      <c r="J98" s="14"/>
      <c r="K98" s="228"/>
      <c r="L98" s="180"/>
      <c r="M98" s="180"/>
      <c r="N98" s="180"/>
      <c r="O98" s="180"/>
      <c r="P98" s="180"/>
      <c r="Q98" s="180"/>
      <c r="R98" s="180"/>
      <c r="S98" s="180"/>
      <c r="T98" s="180"/>
      <c r="U98" s="180"/>
      <c r="V98" s="180"/>
      <c r="W98" s="180"/>
      <c r="X98" s="180"/>
      <c r="Y98" s="180"/>
      <c r="Z98" s="180"/>
      <c r="AA98" s="180"/>
      <c r="AB98" s="180"/>
      <c r="AC98" s="180"/>
      <c r="AD98" s="180"/>
      <c r="AE98" s="180"/>
      <c r="AF98" s="180"/>
      <c r="AG98" s="180"/>
      <c r="AH98" s="180"/>
      <c r="AI98" s="180"/>
      <c r="AJ98" s="180"/>
    </row>
    <row r="99" spans="1:36" ht="14.25">
      <c r="A99" s="472" t="s">
        <v>28</v>
      </c>
      <c r="B99" s="472"/>
      <c r="C99" s="472"/>
      <c r="D99" s="472"/>
      <c r="E99" s="19"/>
      <c r="F99" s="145">
        <f>SUM(G99:I99)</f>
        <v>14025.5</v>
      </c>
      <c r="G99" s="145"/>
      <c r="H99" s="145">
        <f>H91</f>
        <v>1997.9</v>
      </c>
      <c r="I99" s="145">
        <f>I91+I98</f>
        <v>12027.6</v>
      </c>
      <c r="J99" s="20"/>
      <c r="K99" s="19"/>
    </row>
    <row r="100" spans="1:36" ht="15">
      <c r="A100" s="238" t="s">
        <v>29</v>
      </c>
      <c r="B100" s="473"/>
      <c r="C100" s="473"/>
      <c r="D100" s="473"/>
      <c r="E100" s="473"/>
      <c r="F100" s="473"/>
      <c r="G100" s="473"/>
      <c r="H100" s="473"/>
      <c r="I100" s="473"/>
      <c r="J100" s="473"/>
      <c r="K100" s="47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28"/>
      <c r="W100" s="28"/>
      <c r="X100" s="28"/>
      <c r="Y100" s="28"/>
      <c r="Z100" s="28"/>
      <c r="AA100" s="28"/>
      <c r="AB100" s="28"/>
      <c r="AC100" s="28"/>
    </row>
    <row r="101" spans="1:36" ht="15">
      <c r="A101" s="273" t="s">
        <v>284</v>
      </c>
      <c r="B101" s="223" t="s">
        <v>30</v>
      </c>
      <c r="C101" s="225" t="s">
        <v>127</v>
      </c>
      <c r="D101" s="227" t="s">
        <v>218</v>
      </c>
      <c r="E101" s="178">
        <v>2015</v>
      </c>
      <c r="F101" s="7">
        <f t="shared" ref="F101:F107" si="8">SUM(G101:I101)</f>
        <v>600</v>
      </c>
      <c r="G101" s="7"/>
      <c r="H101" s="7"/>
      <c r="I101" s="7">
        <v>600</v>
      </c>
      <c r="J101" s="14"/>
      <c r="K101" s="227" t="s">
        <v>137</v>
      </c>
    </row>
    <row r="102" spans="1:36" ht="15">
      <c r="A102" s="273"/>
      <c r="B102" s="270"/>
      <c r="C102" s="229"/>
      <c r="D102" s="235"/>
      <c r="E102" s="178">
        <v>2016</v>
      </c>
      <c r="F102" s="7">
        <f t="shared" si="8"/>
        <v>700</v>
      </c>
      <c r="G102" s="7"/>
      <c r="H102" s="7"/>
      <c r="I102" s="7">
        <v>700</v>
      </c>
      <c r="J102" s="14"/>
      <c r="K102" s="235"/>
    </row>
    <row r="103" spans="1:36" ht="15">
      <c r="A103" s="273"/>
      <c r="B103" s="270"/>
      <c r="C103" s="229"/>
      <c r="D103" s="235"/>
      <c r="E103" s="178">
        <v>2017</v>
      </c>
      <c r="F103" s="7">
        <f t="shared" si="8"/>
        <v>0</v>
      </c>
      <c r="G103" s="7"/>
      <c r="H103" s="7"/>
      <c r="I103" s="7">
        <v>0</v>
      </c>
      <c r="J103" s="14"/>
      <c r="K103" s="235"/>
    </row>
    <row r="104" spans="1:36" ht="15">
      <c r="A104" s="273"/>
      <c r="B104" s="270"/>
      <c r="C104" s="229"/>
      <c r="D104" s="235"/>
      <c r="E104" s="178">
        <v>2018</v>
      </c>
      <c r="F104" s="7">
        <f t="shared" si="8"/>
        <v>400</v>
      </c>
      <c r="G104" s="7"/>
      <c r="H104" s="7"/>
      <c r="I104" s="7">
        <v>400</v>
      </c>
      <c r="J104" s="14"/>
      <c r="K104" s="235"/>
      <c r="L104" s="99"/>
      <c r="M104" s="99"/>
    </row>
    <row r="105" spans="1:36" ht="15">
      <c r="A105" s="273"/>
      <c r="B105" s="270"/>
      <c r="C105" s="229"/>
      <c r="D105" s="235"/>
      <c r="E105" s="178">
        <v>2019</v>
      </c>
      <c r="F105" s="7">
        <v>0</v>
      </c>
      <c r="G105" s="7"/>
      <c r="H105" s="7"/>
      <c r="I105" s="7">
        <f>1000-1000</f>
        <v>0</v>
      </c>
      <c r="J105" s="14"/>
      <c r="K105" s="235"/>
      <c r="L105" s="99"/>
    </row>
    <row r="106" spans="1:36" ht="15">
      <c r="A106" s="273"/>
      <c r="B106" s="270"/>
      <c r="C106" s="229"/>
      <c r="D106" s="235"/>
      <c r="E106" s="178">
        <v>2020</v>
      </c>
      <c r="F106" s="7">
        <f t="shared" si="8"/>
        <v>0</v>
      </c>
      <c r="G106" s="7"/>
      <c r="H106" s="7"/>
      <c r="I106" s="7">
        <v>0</v>
      </c>
      <c r="J106" s="14"/>
      <c r="K106" s="235"/>
    </row>
    <row r="107" spans="1:36" ht="14.25">
      <c r="A107" s="273"/>
      <c r="B107" s="271"/>
      <c r="C107" s="230"/>
      <c r="D107" s="228"/>
      <c r="E107" s="18" t="s">
        <v>18</v>
      </c>
      <c r="F107" s="8">
        <f t="shared" si="8"/>
        <v>1700</v>
      </c>
      <c r="G107" s="8"/>
      <c r="H107" s="8"/>
      <c r="I107" s="8">
        <f>SUM(I101:I106)</f>
        <v>1700</v>
      </c>
      <c r="J107" s="14"/>
      <c r="K107" s="228"/>
    </row>
    <row r="108" spans="1:36" ht="14.25">
      <c r="A108" s="308" t="s">
        <v>31</v>
      </c>
      <c r="B108" s="471"/>
      <c r="C108" s="471"/>
      <c r="D108" s="308"/>
      <c r="E108" s="308"/>
      <c r="F108" s="308"/>
      <c r="G108" s="308"/>
      <c r="H108" s="308"/>
      <c r="I108" s="308"/>
      <c r="J108" s="308"/>
      <c r="K108" s="308"/>
    </row>
    <row r="109" spans="1:36">
      <c r="A109" s="273" t="s">
        <v>285</v>
      </c>
      <c r="B109" s="282" t="s">
        <v>32</v>
      </c>
      <c r="C109" s="225" t="s">
        <v>127</v>
      </c>
      <c r="D109" s="227" t="s">
        <v>218</v>
      </c>
      <c r="E109" s="178">
        <v>2015</v>
      </c>
      <c r="F109" s="14">
        <f t="shared" ref="F109:F114" si="9">SUM(G109:I109)</f>
        <v>0</v>
      </c>
      <c r="G109" s="14"/>
      <c r="H109" s="14"/>
      <c r="I109" s="14">
        <v>0</v>
      </c>
      <c r="J109" s="14"/>
      <c r="K109" s="227" t="s">
        <v>137</v>
      </c>
    </row>
    <row r="110" spans="1:36">
      <c r="A110" s="273"/>
      <c r="B110" s="283"/>
      <c r="C110" s="229"/>
      <c r="D110" s="235"/>
      <c r="E110" s="178">
        <v>2016</v>
      </c>
      <c r="F110" s="14">
        <f t="shared" si="9"/>
        <v>0</v>
      </c>
      <c r="G110" s="14"/>
      <c r="H110" s="14"/>
      <c r="I110" s="14">
        <v>0</v>
      </c>
      <c r="J110" s="14"/>
      <c r="K110" s="235"/>
    </row>
    <row r="111" spans="1:36">
      <c r="A111" s="273"/>
      <c r="B111" s="283"/>
      <c r="C111" s="229"/>
      <c r="D111" s="235"/>
      <c r="E111" s="178">
        <v>2017</v>
      </c>
      <c r="F111" s="14">
        <f t="shared" si="9"/>
        <v>0</v>
      </c>
      <c r="G111" s="14"/>
      <c r="H111" s="14"/>
      <c r="I111" s="14">
        <v>0</v>
      </c>
      <c r="J111" s="14"/>
      <c r="K111" s="235"/>
    </row>
    <row r="112" spans="1:36">
      <c r="A112" s="273"/>
      <c r="B112" s="283"/>
      <c r="C112" s="229"/>
      <c r="D112" s="235"/>
      <c r="E112" s="178">
        <v>2018</v>
      </c>
      <c r="F112" s="14">
        <f t="shared" si="9"/>
        <v>0</v>
      </c>
      <c r="G112" s="14"/>
      <c r="H112" s="14"/>
      <c r="I112" s="14">
        <f>176.7-176.7</f>
        <v>0</v>
      </c>
      <c r="J112" s="14"/>
      <c r="K112" s="235"/>
      <c r="L112" s="99"/>
      <c r="M112" s="99"/>
    </row>
    <row r="113" spans="1:36">
      <c r="A113" s="273"/>
      <c r="B113" s="283"/>
      <c r="C113" s="229"/>
      <c r="D113" s="235"/>
      <c r="E113" s="178">
        <v>2019</v>
      </c>
      <c r="F113" s="14">
        <f t="shared" si="9"/>
        <v>0</v>
      </c>
      <c r="G113" s="14"/>
      <c r="H113" s="14"/>
      <c r="I113" s="14">
        <f>202-202</f>
        <v>0</v>
      </c>
      <c r="J113" s="14"/>
      <c r="K113" s="235"/>
      <c r="L113" s="99"/>
      <c r="M113" s="127"/>
      <c r="N113" s="99"/>
    </row>
    <row r="114" spans="1:36">
      <c r="A114" s="273"/>
      <c r="B114" s="283"/>
      <c r="C114" s="229"/>
      <c r="D114" s="235"/>
      <c r="E114" s="178">
        <v>2020</v>
      </c>
      <c r="F114" s="14">
        <f t="shared" si="9"/>
        <v>0</v>
      </c>
      <c r="G114" s="14"/>
      <c r="H114" s="14"/>
      <c r="I114" s="14">
        <v>0</v>
      </c>
      <c r="J114" s="14"/>
      <c r="K114" s="235"/>
      <c r="L114" s="99"/>
    </row>
    <row r="115" spans="1:36">
      <c r="A115" s="273"/>
      <c r="B115" s="283"/>
      <c r="C115" s="230"/>
      <c r="D115" s="228"/>
      <c r="E115" s="18" t="s">
        <v>18</v>
      </c>
      <c r="F115" s="13">
        <f>SUM(F109:F114)</f>
        <v>0</v>
      </c>
      <c r="G115" s="13"/>
      <c r="H115" s="13"/>
      <c r="I115" s="13">
        <f>SUM(I109:I114)</f>
        <v>0</v>
      </c>
      <c r="J115" s="14"/>
      <c r="K115" s="228"/>
      <c r="P115" s="99"/>
    </row>
    <row r="116" spans="1:36" ht="20.25" customHeight="1">
      <c r="A116" s="474" t="s">
        <v>204</v>
      </c>
      <c r="B116" s="475"/>
      <c r="C116" s="476"/>
      <c r="D116" s="477"/>
      <c r="E116" s="34"/>
      <c r="F116" s="145">
        <f>SUM(G116:I116)</f>
        <v>369813.4</v>
      </c>
      <c r="G116" s="145"/>
      <c r="H116" s="145">
        <f>H115+H107+H99+H83+H55+H30</f>
        <v>206402.7</v>
      </c>
      <c r="I116" s="145">
        <f>I115+I107+I99+I83+I55+I30</f>
        <v>163410.70000000001</v>
      </c>
      <c r="J116" s="21"/>
      <c r="K116" s="34"/>
      <c r="L116" s="117"/>
      <c r="M116" s="99"/>
      <c r="N116" s="117"/>
      <c r="O116" s="118"/>
      <c r="P116" s="140"/>
      <c r="Q116" s="118"/>
      <c r="R116" s="107"/>
    </row>
    <row r="117" spans="1:36" ht="16.5" thickBot="1">
      <c r="A117" s="478" t="s">
        <v>186</v>
      </c>
      <c r="B117" s="479"/>
      <c r="C117" s="479"/>
      <c r="D117" s="479"/>
      <c r="E117" s="479"/>
      <c r="F117" s="479"/>
      <c r="G117" s="479"/>
      <c r="H117" s="479"/>
      <c r="I117" s="479"/>
      <c r="J117" s="479"/>
      <c r="K117" s="479"/>
      <c r="L117" s="120"/>
      <c r="M117" s="120"/>
      <c r="N117" s="28"/>
      <c r="O117" s="28"/>
      <c r="P117" s="28"/>
      <c r="Q117" s="28"/>
      <c r="R117" s="120"/>
      <c r="S117" s="120"/>
      <c r="T117" s="120"/>
      <c r="U117" s="120"/>
      <c r="V117" s="120"/>
      <c r="W117" s="119"/>
      <c r="X117" s="170"/>
      <c r="Y117" s="170"/>
      <c r="Z117" s="170"/>
      <c r="AA117" s="170"/>
      <c r="AB117" s="170"/>
      <c r="AC117" s="170"/>
      <c r="AD117" s="170"/>
      <c r="AE117" s="170"/>
      <c r="AF117" s="170"/>
      <c r="AG117" s="170"/>
      <c r="AH117" s="170"/>
      <c r="AI117" s="170"/>
      <c r="AJ117" s="170"/>
    </row>
    <row r="118" spans="1:36" ht="44.25" customHeight="1" thickBot="1">
      <c r="A118" s="318" t="s">
        <v>235</v>
      </c>
      <c r="B118" s="463"/>
      <c r="C118" s="463"/>
      <c r="D118" s="463"/>
      <c r="E118" s="463"/>
      <c r="F118" s="463"/>
      <c r="G118" s="463"/>
      <c r="H118" s="463"/>
      <c r="I118" s="463"/>
      <c r="J118" s="463"/>
      <c r="K118" s="464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</row>
    <row r="119" spans="1:36">
      <c r="A119" s="273" t="s">
        <v>64</v>
      </c>
      <c r="B119" s="465" t="s">
        <v>33</v>
      </c>
      <c r="C119" s="467" t="s">
        <v>127</v>
      </c>
      <c r="D119" s="469" t="s">
        <v>411</v>
      </c>
      <c r="E119" s="178">
        <v>2015</v>
      </c>
      <c r="F119" s="178"/>
      <c r="G119" s="178"/>
      <c r="H119" s="178"/>
      <c r="I119" s="178"/>
      <c r="J119" s="178"/>
      <c r="K119" s="341" t="s">
        <v>34</v>
      </c>
    </row>
    <row r="120" spans="1:36">
      <c r="A120" s="273"/>
      <c r="B120" s="466"/>
      <c r="C120" s="468"/>
      <c r="D120" s="470"/>
      <c r="E120" s="178">
        <v>2016</v>
      </c>
      <c r="F120" s="178"/>
      <c r="G120" s="178"/>
      <c r="H120" s="178"/>
      <c r="I120" s="178"/>
      <c r="J120" s="178"/>
      <c r="K120" s="235"/>
    </row>
    <row r="121" spans="1:36">
      <c r="A121" s="273"/>
      <c r="B121" s="466"/>
      <c r="C121" s="468"/>
      <c r="D121" s="470"/>
      <c r="E121" s="178">
        <v>2017</v>
      </c>
      <c r="F121" s="178"/>
      <c r="G121" s="178"/>
      <c r="H121" s="178"/>
      <c r="I121" s="178"/>
      <c r="J121" s="178"/>
      <c r="K121" s="235"/>
      <c r="L121" s="99"/>
    </row>
    <row r="122" spans="1:36">
      <c r="A122" s="273"/>
      <c r="B122" s="466"/>
      <c r="C122" s="468"/>
      <c r="D122" s="470"/>
      <c r="E122" s="178">
        <v>2018</v>
      </c>
      <c r="F122" s="178"/>
      <c r="G122" s="178"/>
      <c r="H122" s="178"/>
      <c r="I122" s="178"/>
      <c r="J122" s="178"/>
      <c r="K122" s="235"/>
    </row>
    <row r="123" spans="1:36">
      <c r="A123" s="273"/>
      <c r="B123" s="466"/>
      <c r="C123" s="468"/>
      <c r="D123" s="470"/>
      <c r="E123" s="178">
        <v>2019</v>
      </c>
      <c r="F123" s="178"/>
      <c r="G123" s="178"/>
      <c r="H123" s="178"/>
      <c r="I123" s="178"/>
      <c r="J123" s="178"/>
      <c r="K123" s="235"/>
    </row>
    <row r="124" spans="1:36">
      <c r="A124" s="273"/>
      <c r="B124" s="466"/>
      <c r="C124" s="468"/>
      <c r="D124" s="470"/>
      <c r="E124" s="178">
        <v>2020</v>
      </c>
      <c r="F124" s="178"/>
      <c r="G124" s="178"/>
      <c r="H124" s="178"/>
      <c r="I124" s="178"/>
      <c r="J124" s="178"/>
      <c r="K124" s="235"/>
    </row>
    <row r="125" spans="1:36" ht="21.75" customHeight="1" thickBot="1">
      <c r="A125" s="274"/>
      <c r="B125" s="466"/>
      <c r="C125" s="468"/>
      <c r="D125" s="470"/>
      <c r="E125" s="26" t="s">
        <v>18</v>
      </c>
      <c r="F125" s="173"/>
      <c r="G125" s="173"/>
      <c r="H125" s="173"/>
      <c r="I125" s="173"/>
      <c r="J125" s="173"/>
      <c r="K125" s="235"/>
    </row>
    <row r="126" spans="1:36" ht="18" customHeight="1" thickBot="1">
      <c r="A126" s="456" t="s">
        <v>207</v>
      </c>
      <c r="B126" s="457"/>
      <c r="C126" s="457"/>
      <c r="D126" s="457"/>
      <c r="E126" s="458"/>
      <c r="F126" s="459" t="s">
        <v>35</v>
      </c>
      <c r="G126" s="460"/>
      <c r="H126" s="460"/>
      <c r="I126" s="460"/>
      <c r="J126" s="461"/>
      <c r="K126" s="98"/>
    </row>
    <row r="127" spans="1:36">
      <c r="A127" s="415" t="s">
        <v>36</v>
      </c>
      <c r="B127" s="462"/>
      <c r="C127" s="462"/>
      <c r="D127" s="462"/>
      <c r="E127" s="462"/>
      <c r="F127" s="462"/>
      <c r="G127" s="462"/>
      <c r="H127" s="462"/>
      <c r="I127" s="462"/>
      <c r="J127" s="462"/>
      <c r="K127" s="462"/>
    </row>
    <row r="128" spans="1:36" ht="31.5" customHeight="1">
      <c r="A128" s="373" t="s">
        <v>37</v>
      </c>
      <c r="B128" s="339"/>
      <c r="C128" s="339"/>
      <c r="D128" s="339"/>
      <c r="E128" s="339"/>
      <c r="F128" s="339"/>
      <c r="G128" s="339"/>
      <c r="H128" s="339"/>
      <c r="I128" s="339"/>
      <c r="J128" s="339"/>
      <c r="K128" s="339"/>
      <c r="L128" s="180"/>
      <c r="M128" s="180"/>
      <c r="N128" s="180"/>
      <c r="O128" s="180"/>
      <c r="P128" s="180"/>
      <c r="Q128" s="180"/>
      <c r="R128" s="180"/>
      <c r="S128" s="180"/>
      <c r="T128" s="180"/>
      <c r="U128" s="180"/>
      <c r="V128" s="180"/>
      <c r="W128" s="180"/>
      <c r="X128" s="180"/>
      <c r="Y128" s="180"/>
      <c r="Z128" s="180"/>
      <c r="AA128" s="180"/>
      <c r="AB128" s="180"/>
      <c r="AC128" s="180"/>
      <c r="AD128" s="180"/>
      <c r="AE128" s="180"/>
      <c r="AF128" s="180"/>
      <c r="AG128" s="180"/>
      <c r="AH128" s="180"/>
      <c r="AI128" s="180"/>
      <c r="AJ128" s="180"/>
    </row>
    <row r="129" spans="1:36">
      <c r="A129" s="272" t="s">
        <v>93</v>
      </c>
      <c r="B129" s="453" t="s">
        <v>38</v>
      </c>
      <c r="C129" s="233" t="s">
        <v>127</v>
      </c>
      <c r="D129" s="281" t="s">
        <v>218</v>
      </c>
      <c r="E129" s="174">
        <v>2015</v>
      </c>
      <c r="F129" s="174"/>
      <c r="G129" s="174"/>
      <c r="H129" s="174"/>
      <c r="I129" s="174"/>
      <c r="J129" s="174"/>
      <c r="K129" s="227" t="s">
        <v>39</v>
      </c>
    </row>
    <row r="130" spans="1:36">
      <c r="A130" s="273"/>
      <c r="B130" s="339"/>
      <c r="C130" s="234"/>
      <c r="D130" s="281"/>
      <c r="E130" s="178">
        <v>2016</v>
      </c>
      <c r="F130" s="178"/>
      <c r="G130" s="178"/>
      <c r="H130" s="178"/>
      <c r="I130" s="178"/>
      <c r="J130" s="178"/>
      <c r="K130" s="235"/>
      <c r="L130" s="99"/>
    </row>
    <row r="131" spans="1:36">
      <c r="A131" s="273"/>
      <c r="B131" s="339"/>
      <c r="C131" s="234"/>
      <c r="D131" s="281"/>
      <c r="E131" s="178">
        <v>2017</v>
      </c>
      <c r="F131" s="178"/>
      <c r="G131" s="178"/>
      <c r="H131" s="178"/>
      <c r="I131" s="178"/>
      <c r="J131" s="178"/>
      <c r="K131" s="235"/>
    </row>
    <row r="132" spans="1:36">
      <c r="A132" s="273"/>
      <c r="B132" s="339"/>
      <c r="C132" s="234"/>
      <c r="D132" s="281"/>
      <c r="E132" s="178">
        <v>2018</v>
      </c>
      <c r="F132" s="178"/>
      <c r="G132" s="178"/>
      <c r="H132" s="178"/>
      <c r="I132" s="178"/>
      <c r="J132" s="178"/>
      <c r="K132" s="235"/>
    </row>
    <row r="133" spans="1:36">
      <c r="A133" s="273"/>
      <c r="B133" s="339"/>
      <c r="C133" s="234"/>
      <c r="D133" s="281"/>
      <c r="E133" s="178">
        <v>2019</v>
      </c>
      <c r="F133" s="178"/>
      <c r="G133" s="178"/>
      <c r="H133" s="178"/>
      <c r="I133" s="178"/>
      <c r="J133" s="178"/>
      <c r="K133" s="235"/>
    </row>
    <row r="134" spans="1:36">
      <c r="A134" s="273"/>
      <c r="B134" s="339"/>
      <c r="C134" s="234"/>
      <c r="D134" s="281"/>
      <c r="E134" s="178">
        <v>2020</v>
      </c>
      <c r="F134" s="178"/>
      <c r="G134" s="178"/>
      <c r="H134" s="178"/>
      <c r="I134" s="178"/>
      <c r="J134" s="178"/>
      <c r="K134" s="235"/>
    </row>
    <row r="135" spans="1:36" ht="30" customHeight="1">
      <c r="A135" s="273"/>
      <c r="B135" s="339"/>
      <c r="C135" s="234"/>
      <c r="D135" s="281"/>
      <c r="E135" s="18" t="s">
        <v>18</v>
      </c>
      <c r="F135" s="178"/>
      <c r="G135" s="178"/>
      <c r="H135" s="178"/>
      <c r="I135" s="178"/>
      <c r="J135" s="178"/>
      <c r="K135" s="228"/>
    </row>
    <row r="136" spans="1:36">
      <c r="A136" s="273" t="s">
        <v>67</v>
      </c>
      <c r="B136" s="249" t="s">
        <v>40</v>
      </c>
      <c r="C136" s="233" t="s">
        <v>127</v>
      </c>
      <c r="D136" s="281" t="s">
        <v>218</v>
      </c>
      <c r="E136" s="178">
        <v>2015</v>
      </c>
      <c r="F136" s="178"/>
      <c r="G136" s="178"/>
      <c r="H136" s="178"/>
      <c r="I136" s="178"/>
      <c r="J136" s="178"/>
      <c r="K136" s="227" t="s">
        <v>41</v>
      </c>
    </row>
    <row r="137" spans="1:36">
      <c r="A137" s="273"/>
      <c r="B137" s="339"/>
      <c r="C137" s="234"/>
      <c r="D137" s="281"/>
      <c r="E137" s="178">
        <v>2016</v>
      </c>
      <c r="F137" s="178"/>
      <c r="G137" s="178"/>
      <c r="H137" s="178"/>
      <c r="I137" s="178"/>
      <c r="J137" s="178"/>
      <c r="K137" s="235"/>
      <c r="L137" s="99"/>
    </row>
    <row r="138" spans="1:36">
      <c r="A138" s="273"/>
      <c r="B138" s="339"/>
      <c r="C138" s="234"/>
      <c r="D138" s="281"/>
      <c r="E138" s="178">
        <v>2017</v>
      </c>
      <c r="F138" s="178"/>
      <c r="G138" s="178"/>
      <c r="H138" s="178"/>
      <c r="I138" s="178"/>
      <c r="J138" s="178"/>
      <c r="K138" s="235"/>
    </row>
    <row r="139" spans="1:36">
      <c r="A139" s="273"/>
      <c r="B139" s="339"/>
      <c r="C139" s="234"/>
      <c r="D139" s="281"/>
      <c r="E139" s="178">
        <v>2018</v>
      </c>
      <c r="F139" s="178"/>
      <c r="G139" s="178"/>
      <c r="H139" s="178"/>
      <c r="I139" s="178"/>
      <c r="J139" s="178"/>
      <c r="K139" s="235"/>
    </row>
    <row r="140" spans="1:36">
      <c r="A140" s="273"/>
      <c r="B140" s="339"/>
      <c r="C140" s="234"/>
      <c r="D140" s="281"/>
      <c r="E140" s="178">
        <v>2019</v>
      </c>
      <c r="F140" s="178"/>
      <c r="G140" s="178"/>
      <c r="H140" s="178"/>
      <c r="I140" s="178"/>
      <c r="J140" s="178"/>
      <c r="K140" s="235"/>
    </row>
    <row r="141" spans="1:36">
      <c r="A141" s="273"/>
      <c r="B141" s="339"/>
      <c r="C141" s="234"/>
      <c r="D141" s="281"/>
      <c r="E141" s="178">
        <v>2020</v>
      </c>
      <c r="F141" s="178"/>
      <c r="G141" s="178"/>
      <c r="H141" s="178"/>
      <c r="I141" s="178"/>
      <c r="J141" s="178"/>
      <c r="K141" s="235"/>
    </row>
    <row r="142" spans="1:36" ht="58.5" customHeight="1">
      <c r="A142" s="274"/>
      <c r="B142" s="326"/>
      <c r="C142" s="234"/>
      <c r="D142" s="281"/>
      <c r="E142" s="26" t="s">
        <v>18</v>
      </c>
      <c r="F142" s="173"/>
      <c r="G142" s="173"/>
      <c r="H142" s="173"/>
      <c r="I142" s="173"/>
      <c r="J142" s="173"/>
      <c r="K142" s="228"/>
    </row>
    <row r="143" spans="1:36" ht="32.25" customHeight="1">
      <c r="A143" s="373" t="s">
        <v>42</v>
      </c>
      <c r="B143" s="339"/>
      <c r="C143" s="339"/>
      <c r="D143" s="339"/>
      <c r="E143" s="339"/>
      <c r="F143" s="339"/>
      <c r="G143" s="339"/>
      <c r="H143" s="339"/>
      <c r="I143" s="339"/>
      <c r="J143" s="339"/>
      <c r="K143" s="339"/>
      <c r="L143" s="180"/>
      <c r="M143" s="180"/>
      <c r="N143" s="180"/>
      <c r="O143" s="180"/>
      <c r="P143" s="180"/>
      <c r="Q143" s="180"/>
      <c r="R143" s="180"/>
      <c r="S143" s="180"/>
      <c r="T143" s="180"/>
      <c r="U143" s="180"/>
      <c r="V143" s="180"/>
      <c r="W143" s="180"/>
      <c r="X143" s="180"/>
      <c r="Y143" s="180"/>
      <c r="Z143" s="180"/>
      <c r="AA143" s="180"/>
      <c r="AB143" s="180"/>
      <c r="AC143" s="180"/>
      <c r="AD143" s="180"/>
      <c r="AE143" s="180"/>
      <c r="AF143" s="180"/>
      <c r="AG143" s="180"/>
      <c r="AH143" s="180"/>
      <c r="AI143" s="180"/>
      <c r="AJ143" s="180"/>
    </row>
    <row r="144" spans="1:36" ht="15">
      <c r="A144" s="373" t="s">
        <v>131</v>
      </c>
      <c r="B144" s="454"/>
      <c r="C144" s="455"/>
      <c r="D144" s="454"/>
      <c r="E144" s="454"/>
      <c r="F144" s="454"/>
      <c r="G144" s="454"/>
      <c r="H144" s="454"/>
      <c r="I144" s="454"/>
      <c r="J144" s="454"/>
      <c r="K144" s="454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</row>
    <row r="145" spans="1:14" ht="15">
      <c r="A145" s="280" t="s">
        <v>286</v>
      </c>
      <c r="B145" s="282" t="s">
        <v>44</v>
      </c>
      <c r="C145" s="233" t="s">
        <v>127</v>
      </c>
      <c r="D145" s="281" t="s">
        <v>218</v>
      </c>
      <c r="E145" s="178">
        <v>2015</v>
      </c>
      <c r="F145" s="7">
        <f t="shared" ref="F145:F150" si="10">SUM(G145:J145)</f>
        <v>289323.7</v>
      </c>
      <c r="G145" s="7"/>
      <c r="H145" s="7">
        <f>313444.2-24120.5</f>
        <v>289323.7</v>
      </c>
      <c r="I145" s="7"/>
      <c r="J145" s="14"/>
      <c r="K145" s="281" t="s">
        <v>45</v>
      </c>
    </row>
    <row r="146" spans="1:14" ht="15">
      <c r="A146" s="280"/>
      <c r="B146" s="283"/>
      <c r="C146" s="234"/>
      <c r="D146" s="281"/>
      <c r="E146" s="178">
        <v>2016</v>
      </c>
      <c r="F146" s="7">
        <f t="shared" si="10"/>
        <v>292770.7</v>
      </c>
      <c r="G146" s="7"/>
      <c r="H146" s="7">
        <f>321212.7-28442</f>
        <v>292770.7</v>
      </c>
      <c r="I146" s="7"/>
      <c r="J146" s="14"/>
      <c r="K146" s="281"/>
      <c r="M146" s="99"/>
    </row>
    <row r="147" spans="1:14" ht="15">
      <c r="A147" s="280"/>
      <c r="B147" s="283"/>
      <c r="C147" s="234"/>
      <c r="D147" s="281"/>
      <c r="E147" s="178">
        <v>2017</v>
      </c>
      <c r="F147" s="7">
        <f t="shared" si="10"/>
        <v>298831.10000000003</v>
      </c>
      <c r="G147" s="7"/>
      <c r="H147" s="7">
        <f>298171.7+659.4</f>
        <v>298831.10000000003</v>
      </c>
      <c r="I147" s="7"/>
      <c r="J147" s="14"/>
      <c r="K147" s="281"/>
      <c r="L147" s="99"/>
      <c r="M147" s="106"/>
    </row>
    <row r="148" spans="1:14" ht="15">
      <c r="A148" s="280"/>
      <c r="B148" s="283"/>
      <c r="C148" s="234"/>
      <c r="D148" s="281"/>
      <c r="E148" s="178">
        <v>2018</v>
      </c>
      <c r="F148" s="7">
        <f t="shared" si="10"/>
        <v>342737.6</v>
      </c>
      <c r="G148" s="7"/>
      <c r="H148" s="7">
        <v>342737.6</v>
      </c>
      <c r="I148" s="7"/>
      <c r="J148" s="14"/>
      <c r="K148" s="281"/>
      <c r="L148" s="99"/>
      <c r="M148" s="106"/>
    </row>
    <row r="149" spans="1:14" ht="15">
      <c r="A149" s="280"/>
      <c r="B149" s="283"/>
      <c r="C149" s="234"/>
      <c r="D149" s="281"/>
      <c r="E149" s="178">
        <v>2019</v>
      </c>
      <c r="F149" s="7">
        <f t="shared" si="10"/>
        <v>333643.5</v>
      </c>
      <c r="G149" s="7"/>
      <c r="H149" s="7">
        <v>333643.5</v>
      </c>
      <c r="I149" s="7"/>
      <c r="J149" s="14"/>
      <c r="K149" s="281"/>
      <c r="L149" s="99"/>
      <c r="M149" s="106"/>
    </row>
    <row r="150" spans="1:14" ht="15">
      <c r="A150" s="280"/>
      <c r="B150" s="283"/>
      <c r="C150" s="234"/>
      <c r="D150" s="281"/>
      <c r="E150" s="178">
        <v>2020</v>
      </c>
      <c r="F150" s="7">
        <f t="shared" si="10"/>
        <v>333643.5</v>
      </c>
      <c r="G150" s="7"/>
      <c r="H150" s="7">
        <v>333643.5</v>
      </c>
      <c r="I150" s="7"/>
      <c r="J150" s="14"/>
      <c r="K150" s="281"/>
    </row>
    <row r="151" spans="1:14" ht="26.25" customHeight="1">
      <c r="A151" s="280"/>
      <c r="B151" s="283"/>
      <c r="C151" s="234"/>
      <c r="D151" s="281"/>
      <c r="E151" s="18" t="s">
        <v>18</v>
      </c>
      <c r="F151" s="8">
        <f>SUM(F145:F150)</f>
        <v>1890950.1</v>
      </c>
      <c r="G151" s="8"/>
      <c r="H151" s="8">
        <f>SUM(H145:H150)</f>
        <v>1890950.1</v>
      </c>
      <c r="I151" s="8"/>
      <c r="J151" s="13"/>
      <c r="K151" s="281"/>
    </row>
    <row r="152" spans="1:14" ht="15">
      <c r="A152" s="280" t="s">
        <v>46</v>
      </c>
      <c r="B152" s="282" t="s">
        <v>47</v>
      </c>
      <c r="C152" s="233" t="s">
        <v>127</v>
      </c>
      <c r="D152" s="281" t="s">
        <v>218</v>
      </c>
      <c r="E152" s="178">
        <v>2015</v>
      </c>
      <c r="F152" s="7">
        <f t="shared" ref="F152:F157" si="11">SUM(G152:J152)</f>
        <v>51438.500000000007</v>
      </c>
      <c r="G152" s="7"/>
      <c r="H152" s="7"/>
      <c r="I152" s="7">
        <f>54650+6257.8-2384.6-2000-2408.2-401.3-516.2-1759</f>
        <v>51438.500000000007</v>
      </c>
      <c r="J152" s="14"/>
      <c r="K152" s="281"/>
    </row>
    <row r="153" spans="1:14" ht="15">
      <c r="A153" s="280"/>
      <c r="B153" s="283"/>
      <c r="C153" s="234"/>
      <c r="D153" s="281"/>
      <c r="E153" s="178">
        <v>2016</v>
      </c>
      <c r="F153" s="7">
        <f t="shared" si="11"/>
        <v>51482.5</v>
      </c>
      <c r="G153" s="7"/>
      <c r="H153" s="7"/>
      <c r="I153" s="7">
        <f>57382.5-5400-500</f>
        <v>51482.5</v>
      </c>
      <c r="J153" s="14"/>
      <c r="K153" s="281"/>
    </row>
    <row r="154" spans="1:14" ht="15">
      <c r="A154" s="280"/>
      <c r="B154" s="283"/>
      <c r="C154" s="234"/>
      <c r="D154" s="281"/>
      <c r="E154" s="178">
        <v>2017</v>
      </c>
      <c r="F154" s="7">
        <f t="shared" si="11"/>
        <v>51797.700000000004</v>
      </c>
      <c r="G154" s="7"/>
      <c r="H154" s="7"/>
      <c r="I154" s="7">
        <f>48417.9+4379.8-1000</f>
        <v>51797.700000000004</v>
      </c>
      <c r="J154" s="14"/>
      <c r="K154" s="281"/>
      <c r="L154" s="99">
        <v>4379.8</v>
      </c>
      <c r="M154" s="106" t="s">
        <v>337</v>
      </c>
      <c r="N154" s="99"/>
    </row>
    <row r="155" spans="1:14" ht="15">
      <c r="A155" s="280"/>
      <c r="B155" s="283"/>
      <c r="C155" s="234"/>
      <c r="D155" s="281"/>
      <c r="E155" s="178">
        <v>2018</v>
      </c>
      <c r="F155" s="7">
        <f t="shared" si="11"/>
        <v>61693.8</v>
      </c>
      <c r="G155" s="7"/>
      <c r="H155" s="7"/>
      <c r="I155" s="7">
        <v>61693.8</v>
      </c>
      <c r="J155" s="14"/>
      <c r="K155" s="281"/>
      <c r="L155" s="99"/>
      <c r="M155" s="106"/>
    </row>
    <row r="156" spans="1:14" ht="15">
      <c r="A156" s="280"/>
      <c r="B156" s="283"/>
      <c r="C156" s="234"/>
      <c r="D156" s="281"/>
      <c r="E156" s="178">
        <v>2019</v>
      </c>
      <c r="F156" s="7">
        <f t="shared" si="11"/>
        <v>48518</v>
      </c>
      <c r="G156" s="7"/>
      <c r="H156" s="7"/>
      <c r="I156" s="7">
        <v>48518</v>
      </c>
      <c r="J156" s="14"/>
      <c r="K156" s="281"/>
      <c r="L156" s="99"/>
      <c r="M156" s="106"/>
    </row>
    <row r="157" spans="1:14" ht="15">
      <c r="A157" s="280"/>
      <c r="B157" s="283"/>
      <c r="C157" s="234"/>
      <c r="D157" s="281"/>
      <c r="E157" s="178">
        <v>2020</v>
      </c>
      <c r="F157" s="7">
        <f t="shared" si="11"/>
        <v>46387</v>
      </c>
      <c r="G157" s="7"/>
      <c r="H157" s="7"/>
      <c r="I157" s="7">
        <v>46387</v>
      </c>
      <c r="J157" s="14"/>
      <c r="K157" s="281"/>
    </row>
    <row r="158" spans="1:14" ht="47.25" customHeight="1">
      <c r="A158" s="280"/>
      <c r="B158" s="283"/>
      <c r="C158" s="234"/>
      <c r="D158" s="281"/>
      <c r="E158" s="18" t="s">
        <v>18</v>
      </c>
      <c r="F158" s="8">
        <f>SUM(F152:F157)</f>
        <v>311317.5</v>
      </c>
      <c r="G158" s="8"/>
      <c r="H158" s="8"/>
      <c r="I158" s="8">
        <f>SUM(I152:I157)</f>
        <v>311317.5</v>
      </c>
      <c r="J158" s="13"/>
      <c r="K158" s="281"/>
    </row>
    <row r="159" spans="1:14">
      <c r="A159" s="273" t="s">
        <v>48</v>
      </c>
      <c r="B159" s="282" t="s">
        <v>49</v>
      </c>
      <c r="C159" s="233" t="s">
        <v>127</v>
      </c>
      <c r="D159" s="429" t="s">
        <v>218</v>
      </c>
      <c r="E159" s="178">
        <v>2015</v>
      </c>
      <c r="F159" s="2"/>
      <c r="G159" s="2"/>
      <c r="H159" s="2"/>
      <c r="I159" s="2"/>
      <c r="J159" s="2"/>
      <c r="K159" s="227" t="s">
        <v>50</v>
      </c>
    </row>
    <row r="160" spans="1:14">
      <c r="A160" s="273"/>
      <c r="B160" s="283"/>
      <c r="C160" s="234"/>
      <c r="D160" s="430"/>
      <c r="E160" s="178">
        <v>2016</v>
      </c>
      <c r="F160" s="2"/>
      <c r="G160" s="2"/>
      <c r="H160" s="2"/>
      <c r="I160" s="2"/>
      <c r="J160" s="2"/>
      <c r="K160" s="235"/>
    </row>
    <row r="161" spans="1:12">
      <c r="A161" s="273"/>
      <c r="B161" s="283"/>
      <c r="C161" s="234"/>
      <c r="D161" s="430"/>
      <c r="E161" s="178">
        <v>2017</v>
      </c>
      <c r="F161" s="2"/>
      <c r="G161" s="2"/>
      <c r="H161" s="2"/>
      <c r="I161" s="2"/>
      <c r="J161" s="2"/>
      <c r="K161" s="235"/>
    </row>
    <row r="162" spans="1:12">
      <c r="A162" s="273"/>
      <c r="B162" s="283"/>
      <c r="C162" s="234"/>
      <c r="D162" s="430"/>
      <c r="E162" s="178">
        <v>2018</v>
      </c>
      <c r="F162" s="2"/>
      <c r="G162" s="2"/>
      <c r="H162" s="2"/>
      <c r="I162" s="2"/>
      <c r="J162" s="2"/>
      <c r="K162" s="235"/>
    </row>
    <row r="163" spans="1:12">
      <c r="A163" s="273"/>
      <c r="B163" s="283"/>
      <c r="C163" s="234"/>
      <c r="D163" s="430"/>
      <c r="E163" s="178">
        <v>2019</v>
      </c>
      <c r="F163" s="2"/>
      <c r="G163" s="2"/>
      <c r="H163" s="2"/>
      <c r="I163" s="2"/>
      <c r="J163" s="2"/>
      <c r="K163" s="235"/>
      <c r="L163" s="99"/>
    </row>
    <row r="164" spans="1:12">
      <c r="A164" s="273"/>
      <c r="B164" s="283"/>
      <c r="C164" s="234"/>
      <c r="D164" s="430"/>
      <c r="E164" s="178">
        <v>2020</v>
      </c>
      <c r="F164" s="2"/>
      <c r="G164" s="2"/>
      <c r="H164" s="2"/>
      <c r="I164" s="2"/>
      <c r="J164" s="2"/>
      <c r="K164" s="235"/>
    </row>
    <row r="165" spans="1:12" ht="92.25" customHeight="1">
      <c r="A165" s="273"/>
      <c r="B165" s="283"/>
      <c r="C165" s="234"/>
      <c r="D165" s="431"/>
      <c r="E165" s="18" t="s">
        <v>18</v>
      </c>
      <c r="F165" s="2"/>
      <c r="G165" s="2"/>
      <c r="H165" s="2"/>
      <c r="I165" s="2"/>
      <c r="J165" s="2"/>
      <c r="K165" s="228"/>
    </row>
    <row r="166" spans="1:12">
      <c r="A166" s="272" t="s">
        <v>287</v>
      </c>
      <c r="B166" s="450" t="s">
        <v>236</v>
      </c>
      <c r="C166" s="233" t="s">
        <v>127</v>
      </c>
      <c r="D166" s="430" t="s">
        <v>218</v>
      </c>
      <c r="E166" s="174">
        <v>2015</v>
      </c>
      <c r="F166" s="1"/>
      <c r="G166" s="1"/>
      <c r="H166" s="1"/>
      <c r="I166" s="1"/>
      <c r="J166" s="1"/>
      <c r="K166" s="235" t="s">
        <v>51</v>
      </c>
    </row>
    <row r="167" spans="1:12">
      <c r="A167" s="273"/>
      <c r="B167" s="450"/>
      <c r="C167" s="234"/>
      <c r="D167" s="430"/>
      <c r="E167" s="178">
        <v>2016</v>
      </c>
      <c r="F167" s="2"/>
      <c r="G167" s="2"/>
      <c r="H167" s="2"/>
      <c r="I167" s="2"/>
      <c r="J167" s="2"/>
      <c r="K167" s="235"/>
    </row>
    <row r="168" spans="1:12">
      <c r="A168" s="273"/>
      <c r="B168" s="450"/>
      <c r="C168" s="234"/>
      <c r="D168" s="430"/>
      <c r="E168" s="178">
        <v>2017</v>
      </c>
      <c r="F168" s="2"/>
      <c r="G168" s="2"/>
      <c r="H168" s="2"/>
      <c r="I168" s="2"/>
      <c r="J168" s="2"/>
      <c r="K168" s="235"/>
      <c r="L168" s="99"/>
    </row>
    <row r="169" spans="1:12">
      <c r="A169" s="273"/>
      <c r="B169" s="450"/>
      <c r="C169" s="234"/>
      <c r="D169" s="430"/>
      <c r="E169" s="178">
        <v>2018</v>
      </c>
      <c r="F169" s="2"/>
      <c r="G169" s="2"/>
      <c r="H169" s="2"/>
      <c r="I169" s="2"/>
      <c r="J169" s="2"/>
      <c r="K169" s="235"/>
    </row>
    <row r="170" spans="1:12">
      <c r="A170" s="273"/>
      <c r="B170" s="450"/>
      <c r="C170" s="234"/>
      <c r="D170" s="430"/>
      <c r="E170" s="178">
        <v>2019</v>
      </c>
      <c r="F170" s="2"/>
      <c r="G170" s="2"/>
      <c r="H170" s="2"/>
      <c r="I170" s="2"/>
      <c r="J170" s="2"/>
      <c r="K170" s="235"/>
    </row>
    <row r="171" spans="1:12">
      <c r="A171" s="273"/>
      <c r="B171" s="450"/>
      <c r="C171" s="234"/>
      <c r="D171" s="430"/>
      <c r="E171" s="178">
        <v>2020</v>
      </c>
      <c r="F171" s="2"/>
      <c r="G171" s="2"/>
      <c r="H171" s="2"/>
      <c r="I171" s="2"/>
      <c r="J171" s="2"/>
      <c r="K171" s="235"/>
    </row>
    <row r="172" spans="1:12" ht="77.25" customHeight="1">
      <c r="A172" s="273"/>
      <c r="B172" s="451"/>
      <c r="C172" s="234"/>
      <c r="D172" s="431"/>
      <c r="E172" s="18" t="s">
        <v>18</v>
      </c>
      <c r="F172" s="2"/>
      <c r="G172" s="2"/>
      <c r="H172" s="2"/>
      <c r="I172" s="2"/>
      <c r="J172" s="2"/>
      <c r="K172" s="228"/>
    </row>
    <row r="173" spans="1:12">
      <c r="A173" s="273" t="s">
        <v>288</v>
      </c>
      <c r="B173" s="223" t="s">
        <v>52</v>
      </c>
      <c r="C173" s="233" t="s">
        <v>127</v>
      </c>
      <c r="D173" s="429" t="s">
        <v>218</v>
      </c>
      <c r="E173" s="178">
        <v>2015</v>
      </c>
      <c r="F173" s="441" t="s">
        <v>53</v>
      </c>
      <c r="G173" s="442"/>
      <c r="H173" s="442"/>
      <c r="I173" s="442"/>
      <c r="J173" s="443"/>
      <c r="K173" s="227" t="s">
        <v>54</v>
      </c>
    </row>
    <row r="174" spans="1:12">
      <c r="A174" s="273"/>
      <c r="B174" s="452"/>
      <c r="C174" s="234"/>
      <c r="D174" s="430"/>
      <c r="E174" s="178">
        <v>2016</v>
      </c>
      <c r="F174" s="444"/>
      <c r="G174" s="445"/>
      <c r="H174" s="445"/>
      <c r="I174" s="445"/>
      <c r="J174" s="446"/>
      <c r="K174" s="235"/>
    </row>
    <row r="175" spans="1:12">
      <c r="A175" s="273"/>
      <c r="B175" s="452"/>
      <c r="C175" s="234"/>
      <c r="D175" s="430"/>
      <c r="E175" s="178">
        <v>2017</v>
      </c>
      <c r="F175" s="444"/>
      <c r="G175" s="445"/>
      <c r="H175" s="445"/>
      <c r="I175" s="445"/>
      <c r="J175" s="446"/>
      <c r="K175" s="235"/>
    </row>
    <row r="176" spans="1:12">
      <c r="A176" s="273"/>
      <c r="B176" s="452"/>
      <c r="C176" s="234"/>
      <c r="D176" s="430"/>
      <c r="E176" s="178">
        <v>2018</v>
      </c>
      <c r="F176" s="444"/>
      <c r="G176" s="445"/>
      <c r="H176" s="445"/>
      <c r="I176" s="445"/>
      <c r="J176" s="446"/>
      <c r="K176" s="235"/>
      <c r="L176" s="99"/>
    </row>
    <row r="177" spans="1:16">
      <c r="A177" s="273"/>
      <c r="B177" s="452"/>
      <c r="C177" s="234"/>
      <c r="D177" s="430"/>
      <c r="E177" s="178">
        <v>2019</v>
      </c>
      <c r="F177" s="444"/>
      <c r="G177" s="445"/>
      <c r="H177" s="445"/>
      <c r="I177" s="445"/>
      <c r="J177" s="446"/>
      <c r="K177" s="235"/>
    </row>
    <row r="178" spans="1:16">
      <c r="A178" s="273"/>
      <c r="B178" s="452"/>
      <c r="C178" s="234"/>
      <c r="D178" s="430"/>
      <c r="E178" s="178">
        <v>2020</v>
      </c>
      <c r="F178" s="444"/>
      <c r="G178" s="445"/>
      <c r="H178" s="445"/>
      <c r="I178" s="445"/>
      <c r="J178" s="446"/>
      <c r="K178" s="235"/>
    </row>
    <row r="179" spans="1:16" ht="15.75" customHeight="1">
      <c r="A179" s="273"/>
      <c r="B179" s="224"/>
      <c r="C179" s="234"/>
      <c r="D179" s="431"/>
      <c r="E179" s="18" t="s">
        <v>18</v>
      </c>
      <c r="F179" s="447"/>
      <c r="G179" s="448"/>
      <c r="H179" s="448"/>
      <c r="I179" s="448"/>
      <c r="J179" s="449"/>
      <c r="K179" s="235"/>
    </row>
    <row r="180" spans="1:16">
      <c r="A180" s="273" t="s">
        <v>289</v>
      </c>
      <c r="B180" s="282" t="s">
        <v>55</v>
      </c>
      <c r="C180" s="233" t="s">
        <v>127</v>
      </c>
      <c r="D180" s="429" t="s">
        <v>218</v>
      </c>
      <c r="E180" s="178">
        <v>2015</v>
      </c>
      <c r="F180" s="292" t="s">
        <v>56</v>
      </c>
      <c r="G180" s="293"/>
      <c r="H180" s="293"/>
      <c r="I180" s="293"/>
      <c r="J180" s="294"/>
      <c r="K180" s="229"/>
    </row>
    <row r="181" spans="1:16">
      <c r="A181" s="273"/>
      <c r="B181" s="282"/>
      <c r="C181" s="234"/>
      <c r="D181" s="430"/>
      <c r="E181" s="178">
        <v>2016</v>
      </c>
      <c r="F181" s="295"/>
      <c r="G181" s="296"/>
      <c r="H181" s="296"/>
      <c r="I181" s="296"/>
      <c r="J181" s="297"/>
      <c r="K181" s="229"/>
    </row>
    <row r="182" spans="1:16">
      <c r="A182" s="273"/>
      <c r="B182" s="282"/>
      <c r="C182" s="234"/>
      <c r="D182" s="430"/>
      <c r="E182" s="178">
        <v>2017</v>
      </c>
      <c r="F182" s="295"/>
      <c r="G182" s="296"/>
      <c r="H182" s="296"/>
      <c r="I182" s="296"/>
      <c r="J182" s="297"/>
      <c r="K182" s="229"/>
    </row>
    <row r="183" spans="1:16">
      <c r="A183" s="273"/>
      <c r="B183" s="282"/>
      <c r="C183" s="234"/>
      <c r="D183" s="430"/>
      <c r="E183" s="178">
        <v>2018</v>
      </c>
      <c r="F183" s="295"/>
      <c r="G183" s="296"/>
      <c r="H183" s="296"/>
      <c r="I183" s="296"/>
      <c r="J183" s="297"/>
      <c r="K183" s="229"/>
    </row>
    <row r="184" spans="1:16">
      <c r="A184" s="273"/>
      <c r="B184" s="282"/>
      <c r="C184" s="234"/>
      <c r="D184" s="430"/>
      <c r="E184" s="178">
        <v>2019</v>
      </c>
      <c r="F184" s="295"/>
      <c r="G184" s="296"/>
      <c r="H184" s="296"/>
      <c r="I184" s="296"/>
      <c r="J184" s="297"/>
      <c r="K184" s="229"/>
    </row>
    <row r="185" spans="1:16">
      <c r="A185" s="273"/>
      <c r="B185" s="282"/>
      <c r="C185" s="234"/>
      <c r="D185" s="430"/>
      <c r="E185" s="178">
        <v>2020</v>
      </c>
      <c r="F185" s="298"/>
      <c r="G185" s="299"/>
      <c r="H185" s="299"/>
      <c r="I185" s="299"/>
      <c r="J185" s="300"/>
      <c r="K185" s="229"/>
    </row>
    <row r="186" spans="1:16">
      <c r="A186" s="273"/>
      <c r="B186" s="282"/>
      <c r="C186" s="234"/>
      <c r="D186" s="431"/>
      <c r="E186" s="26" t="s">
        <v>18</v>
      </c>
      <c r="F186" s="173"/>
      <c r="G186" s="173"/>
      <c r="H186" s="173"/>
      <c r="I186" s="173"/>
      <c r="J186" s="173"/>
      <c r="K186" s="230"/>
    </row>
    <row r="187" spans="1:16" ht="14.25" customHeight="1">
      <c r="A187" s="435" t="s">
        <v>290</v>
      </c>
      <c r="B187" s="223" t="s">
        <v>129</v>
      </c>
      <c r="C187" s="225" t="s">
        <v>127</v>
      </c>
      <c r="D187" s="227" t="s">
        <v>218</v>
      </c>
      <c r="E187" s="178">
        <v>2016</v>
      </c>
      <c r="F187" s="7">
        <f>SUM(G187:J187)</f>
        <v>12886.900000000001</v>
      </c>
      <c r="G187" s="10"/>
      <c r="H187" s="10">
        <f>13077.7-190.8</f>
        <v>12886.900000000001</v>
      </c>
      <c r="I187" s="10"/>
      <c r="J187" s="22"/>
      <c r="K187" s="227" t="s">
        <v>141</v>
      </c>
    </row>
    <row r="188" spans="1:16" ht="14.25" customHeight="1">
      <c r="A188" s="436"/>
      <c r="B188" s="433"/>
      <c r="C188" s="241"/>
      <c r="D188" s="235"/>
      <c r="E188" s="178">
        <v>2017</v>
      </c>
      <c r="F188" s="7">
        <f t="shared" ref="F188:F189" si="12">SUM(G188:J188)</f>
        <v>12955</v>
      </c>
      <c r="G188" s="10"/>
      <c r="H188" s="10">
        <f>12995.9-40.9</f>
        <v>12955</v>
      </c>
      <c r="I188" s="10"/>
      <c r="J188" s="22"/>
      <c r="K188" s="235"/>
      <c r="L188" s="99"/>
    </row>
    <row r="189" spans="1:16" ht="15" customHeight="1">
      <c r="A189" s="436"/>
      <c r="B189" s="433"/>
      <c r="C189" s="241"/>
      <c r="D189" s="235"/>
      <c r="E189" s="178">
        <v>2018</v>
      </c>
      <c r="F189" s="7">
        <f t="shared" si="12"/>
        <v>9994.9</v>
      </c>
      <c r="G189" s="10"/>
      <c r="H189" s="10">
        <v>9994.9</v>
      </c>
      <c r="I189" s="10"/>
      <c r="J189" s="22"/>
      <c r="K189" s="235"/>
    </row>
    <row r="190" spans="1:16" ht="13.5" customHeight="1">
      <c r="A190" s="436"/>
      <c r="B190" s="433"/>
      <c r="C190" s="241"/>
      <c r="D190" s="235"/>
      <c r="E190" s="178">
        <v>2019</v>
      </c>
      <c r="F190" s="7">
        <f t="shared" ref="F190" si="13">SUM(G190:J190)</f>
        <v>9994.9</v>
      </c>
      <c r="G190" s="10"/>
      <c r="H190" s="10">
        <v>9994.9</v>
      </c>
      <c r="I190" s="10"/>
      <c r="J190" s="22"/>
      <c r="K190" s="235"/>
      <c r="L190" s="99"/>
    </row>
    <row r="191" spans="1:16" ht="16.5" customHeight="1">
      <c r="A191" s="436"/>
      <c r="B191" s="433"/>
      <c r="C191" s="241"/>
      <c r="D191" s="235"/>
      <c r="E191" s="178">
        <v>2020</v>
      </c>
      <c r="F191" s="10">
        <f>H191</f>
        <v>9994.9</v>
      </c>
      <c r="G191" s="10"/>
      <c r="H191" s="10">
        <v>9994.9</v>
      </c>
      <c r="I191" s="10"/>
      <c r="J191" s="22"/>
      <c r="K191" s="235"/>
    </row>
    <row r="192" spans="1:16" ht="16.5" customHeight="1">
      <c r="A192" s="437"/>
      <c r="B192" s="434"/>
      <c r="C192" s="226"/>
      <c r="D192" s="228"/>
      <c r="E192" s="18" t="s">
        <v>18</v>
      </c>
      <c r="F192" s="10">
        <f>F187+F188+F189+F190+F191</f>
        <v>55826.600000000006</v>
      </c>
      <c r="G192" s="10"/>
      <c r="H192" s="10">
        <f>H187+H188+H189+H190+H191</f>
        <v>55826.600000000006</v>
      </c>
      <c r="I192" s="10"/>
      <c r="J192" s="22"/>
      <c r="K192" s="228"/>
      <c r="P192" s="99"/>
    </row>
    <row r="193" spans="1:32" ht="23.25" customHeight="1" thickBot="1">
      <c r="A193" s="438" t="s">
        <v>195</v>
      </c>
      <c r="B193" s="439"/>
      <c r="C193" s="439"/>
      <c r="D193" s="440"/>
      <c r="E193" s="169"/>
      <c r="F193" s="146">
        <f>F186+F172+F165+F151+F158+F192</f>
        <v>2258094.2000000002</v>
      </c>
      <c r="G193" s="146"/>
      <c r="H193" s="146">
        <f>H186+H172+H165+H151+H158+H192</f>
        <v>1946776.7000000002</v>
      </c>
      <c r="I193" s="146">
        <f>I186+I172+I165+I151+I158+I192</f>
        <v>311317.5</v>
      </c>
      <c r="J193" s="17"/>
      <c r="K193" s="37"/>
      <c r="L193" s="117"/>
      <c r="M193" s="99"/>
      <c r="N193" s="117"/>
      <c r="O193" s="99"/>
      <c r="P193" s="117"/>
    </row>
    <row r="194" spans="1:32" ht="25.5" customHeight="1" thickBot="1">
      <c r="A194" s="301" t="s">
        <v>200</v>
      </c>
      <c r="B194" s="302"/>
      <c r="C194" s="302"/>
      <c r="D194" s="302"/>
      <c r="E194" s="181"/>
      <c r="F194" s="182">
        <f>SUM(G194:I194)</f>
        <v>2627907.6000000006</v>
      </c>
      <c r="G194" s="182"/>
      <c r="H194" s="182">
        <f>H193+H116</f>
        <v>2153179.4000000004</v>
      </c>
      <c r="I194" s="182">
        <f>I193+I116</f>
        <v>474728.2</v>
      </c>
      <c r="J194" s="97"/>
      <c r="K194" s="98"/>
      <c r="L194" s="46"/>
      <c r="M194" s="28"/>
      <c r="N194" s="46"/>
      <c r="O194" s="28"/>
      <c r="P194" s="46"/>
      <c r="Q194" s="104"/>
      <c r="R194" s="28"/>
      <c r="S194" s="104"/>
      <c r="T194" s="28"/>
      <c r="U194" s="28"/>
      <c r="V194" s="28"/>
      <c r="W194" s="28"/>
      <c r="X194" s="28"/>
      <c r="Y194" s="28"/>
      <c r="Z194" s="28"/>
      <c r="AA194" s="28"/>
      <c r="AB194" s="28"/>
    </row>
    <row r="195" spans="1:32" ht="23.25" customHeight="1">
      <c r="A195" s="303" t="s">
        <v>188</v>
      </c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38"/>
      <c r="AD195" s="38"/>
      <c r="AE195" s="38"/>
      <c r="AF195" s="39"/>
    </row>
    <row r="196" spans="1:32" ht="15.75">
      <c r="A196" s="305" t="s">
        <v>187</v>
      </c>
      <c r="B196" s="306"/>
      <c r="C196" s="307"/>
      <c r="D196" s="306"/>
      <c r="E196" s="306"/>
      <c r="F196" s="306"/>
      <c r="G196" s="306"/>
      <c r="H196" s="306"/>
      <c r="I196" s="306"/>
      <c r="J196" s="306"/>
      <c r="K196" s="306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1"/>
    </row>
    <row r="197" spans="1:32" ht="12.75" customHeight="1">
      <c r="A197" s="432" t="s">
        <v>16</v>
      </c>
      <c r="B197" s="282" t="s">
        <v>219</v>
      </c>
      <c r="C197" s="233" t="s">
        <v>144</v>
      </c>
      <c r="D197" s="429" t="s">
        <v>409</v>
      </c>
      <c r="E197" s="178">
        <v>2015</v>
      </c>
      <c r="F197" s="14"/>
      <c r="G197" s="14"/>
      <c r="H197" s="14"/>
      <c r="I197" s="14"/>
      <c r="J197" s="14"/>
      <c r="K197" s="227" t="s">
        <v>142</v>
      </c>
    </row>
    <row r="198" spans="1:32">
      <c r="A198" s="432"/>
      <c r="B198" s="283"/>
      <c r="C198" s="234"/>
      <c r="D198" s="430"/>
      <c r="E198" s="178">
        <v>2016</v>
      </c>
      <c r="F198" s="14"/>
      <c r="G198" s="14"/>
      <c r="H198" s="14"/>
      <c r="I198" s="14"/>
      <c r="J198" s="14"/>
      <c r="K198" s="235"/>
    </row>
    <row r="199" spans="1:32">
      <c r="A199" s="432"/>
      <c r="B199" s="283"/>
      <c r="C199" s="234"/>
      <c r="D199" s="430"/>
      <c r="E199" s="178">
        <v>2017</v>
      </c>
      <c r="F199" s="14"/>
      <c r="G199" s="14"/>
      <c r="H199" s="14"/>
      <c r="I199" s="14"/>
      <c r="J199" s="14"/>
      <c r="K199" s="235"/>
      <c r="L199" s="99"/>
    </row>
    <row r="200" spans="1:32">
      <c r="A200" s="432"/>
      <c r="B200" s="283"/>
      <c r="C200" s="234"/>
      <c r="D200" s="430"/>
      <c r="E200" s="178">
        <v>2018</v>
      </c>
      <c r="F200" s="14"/>
      <c r="G200" s="14"/>
      <c r="H200" s="14"/>
      <c r="I200" s="14"/>
      <c r="J200" s="14"/>
      <c r="K200" s="235"/>
    </row>
    <row r="201" spans="1:32">
      <c r="A201" s="432"/>
      <c r="B201" s="283"/>
      <c r="C201" s="234"/>
      <c r="D201" s="430"/>
      <c r="E201" s="178">
        <v>2019</v>
      </c>
      <c r="F201" s="14">
        <f>SUM(G201:J201)</f>
        <v>0</v>
      </c>
      <c r="G201" s="14"/>
      <c r="H201" s="14">
        <f>85230-85230</f>
        <v>0</v>
      </c>
      <c r="I201" s="14">
        <f>860.9-860.9</f>
        <v>0</v>
      </c>
      <c r="J201" s="14"/>
      <c r="K201" s="235"/>
    </row>
    <row r="202" spans="1:32">
      <c r="A202" s="432"/>
      <c r="B202" s="283"/>
      <c r="C202" s="234"/>
      <c r="D202" s="430"/>
      <c r="E202" s="178">
        <v>2020</v>
      </c>
      <c r="F202" s="14">
        <f>SUM(G202:J202)</f>
        <v>0</v>
      </c>
      <c r="G202" s="14"/>
      <c r="H202" s="14">
        <v>0</v>
      </c>
      <c r="I202" s="14">
        <v>0</v>
      </c>
      <c r="J202" s="14"/>
      <c r="K202" s="235"/>
    </row>
    <row r="203" spans="1:32">
      <c r="A203" s="432"/>
      <c r="B203" s="284"/>
      <c r="C203" s="234"/>
      <c r="D203" s="431"/>
      <c r="E203" s="18" t="s">
        <v>18</v>
      </c>
      <c r="F203" s="13">
        <f>SUM(F197:F202)</f>
        <v>0</v>
      </c>
      <c r="G203" s="13">
        <f>SUM(G197:G202)</f>
        <v>0</v>
      </c>
      <c r="H203" s="13">
        <f>SUM(H197:H202)</f>
        <v>0</v>
      </c>
      <c r="I203" s="13">
        <f>SUM(I197:I202)</f>
        <v>0</v>
      </c>
      <c r="J203" s="14"/>
      <c r="K203" s="228"/>
    </row>
    <row r="204" spans="1:32" ht="12.75" customHeight="1">
      <c r="A204" s="432" t="s">
        <v>19</v>
      </c>
      <c r="B204" s="282" t="s">
        <v>57</v>
      </c>
      <c r="C204" s="233" t="s">
        <v>58</v>
      </c>
      <c r="D204" s="429" t="s">
        <v>412</v>
      </c>
      <c r="E204" s="178">
        <v>2015</v>
      </c>
      <c r="F204" s="7">
        <f>SUM(G204:I204)</f>
        <v>11594</v>
      </c>
      <c r="G204" s="7"/>
      <c r="H204" s="7">
        <f>9200+2278</f>
        <v>11478</v>
      </c>
      <c r="I204" s="7">
        <f>92.9+23.1</f>
        <v>116</v>
      </c>
      <c r="J204" s="14"/>
      <c r="K204" s="227" t="s">
        <v>143</v>
      </c>
    </row>
    <row r="205" spans="1:32" ht="15">
      <c r="A205" s="432"/>
      <c r="B205" s="283"/>
      <c r="C205" s="234"/>
      <c r="D205" s="430"/>
      <c r="E205" s="178">
        <v>2016</v>
      </c>
      <c r="F205" s="7">
        <f>SUM(G205:I205)</f>
        <v>19796.5</v>
      </c>
      <c r="G205" s="7"/>
      <c r="H205" s="7">
        <v>19593.599999999999</v>
      </c>
      <c r="I205" s="7">
        <f>198+4.9</f>
        <v>202.9</v>
      </c>
      <c r="J205" s="14"/>
      <c r="K205" s="235"/>
    </row>
    <row r="206" spans="1:32" ht="15">
      <c r="A206" s="432"/>
      <c r="B206" s="283"/>
      <c r="C206" s="234"/>
      <c r="D206" s="430"/>
      <c r="E206" s="178">
        <v>2017</v>
      </c>
      <c r="F206" s="7"/>
      <c r="G206" s="7"/>
      <c r="H206" s="7"/>
      <c r="I206" s="7"/>
      <c r="J206" s="14"/>
      <c r="K206" s="235"/>
    </row>
    <row r="207" spans="1:32" ht="15">
      <c r="A207" s="432"/>
      <c r="B207" s="283"/>
      <c r="C207" s="234"/>
      <c r="D207" s="430"/>
      <c r="E207" s="178">
        <v>2018</v>
      </c>
      <c r="F207" s="7"/>
      <c r="G207" s="7"/>
      <c r="H207" s="7"/>
      <c r="I207" s="7"/>
      <c r="J207" s="14"/>
      <c r="K207" s="235"/>
      <c r="L207" s="99"/>
    </row>
    <row r="208" spans="1:32" ht="15">
      <c r="A208" s="432"/>
      <c r="B208" s="283"/>
      <c r="C208" s="234"/>
      <c r="D208" s="430"/>
      <c r="E208" s="178">
        <v>2019</v>
      </c>
      <c r="F208" s="7"/>
      <c r="G208" s="7"/>
      <c r="H208" s="7"/>
      <c r="I208" s="7"/>
      <c r="J208" s="14"/>
      <c r="K208" s="235"/>
    </row>
    <row r="209" spans="1:33" ht="14.25">
      <c r="A209" s="432"/>
      <c r="B209" s="283"/>
      <c r="C209" s="234"/>
      <c r="D209" s="430"/>
      <c r="E209" s="178">
        <v>2020</v>
      </c>
      <c r="F209" s="8"/>
      <c r="G209" s="8"/>
      <c r="H209" s="8"/>
      <c r="I209" s="8"/>
      <c r="J209" s="14"/>
      <c r="K209" s="235"/>
    </row>
    <row r="210" spans="1:33" ht="14.25">
      <c r="A210" s="432"/>
      <c r="B210" s="283"/>
      <c r="C210" s="234"/>
      <c r="D210" s="431"/>
      <c r="E210" s="18" t="s">
        <v>18</v>
      </c>
      <c r="F210" s="8">
        <f>SUM(F204:F209)</f>
        <v>31390.5</v>
      </c>
      <c r="G210" s="8"/>
      <c r="H210" s="8">
        <f>SUM(H204:H209)</f>
        <v>31071.599999999999</v>
      </c>
      <c r="I210" s="8">
        <f>SUM(I204:I209)</f>
        <v>318.89999999999998</v>
      </c>
      <c r="J210" s="14"/>
      <c r="K210" s="228"/>
    </row>
    <row r="211" spans="1:33">
      <c r="A211" s="432" t="s">
        <v>59</v>
      </c>
      <c r="B211" s="282" t="s">
        <v>277</v>
      </c>
      <c r="C211" s="233" t="s">
        <v>145</v>
      </c>
      <c r="D211" s="429" t="s">
        <v>409</v>
      </c>
      <c r="E211" s="178">
        <v>2015</v>
      </c>
      <c r="F211" s="14">
        <f>SUM(G211:I211)</f>
        <v>0</v>
      </c>
      <c r="G211" s="14"/>
      <c r="H211" s="14">
        <f>19500-19500</f>
        <v>0</v>
      </c>
      <c r="I211" s="14">
        <f>197-197</f>
        <v>0</v>
      </c>
      <c r="J211" s="14"/>
      <c r="K211" s="227" t="s">
        <v>181</v>
      </c>
    </row>
    <row r="212" spans="1:33">
      <c r="A212" s="432"/>
      <c r="B212" s="283"/>
      <c r="C212" s="234"/>
      <c r="D212" s="430"/>
      <c r="E212" s="178">
        <v>2016</v>
      </c>
      <c r="F212" s="14">
        <f>SUM(G212:I212)</f>
        <v>0</v>
      </c>
      <c r="G212" s="14"/>
      <c r="H212" s="14">
        <v>0</v>
      </c>
      <c r="I212" s="14">
        <v>0</v>
      </c>
      <c r="J212" s="14"/>
      <c r="K212" s="235"/>
    </row>
    <row r="213" spans="1:33" ht="15">
      <c r="A213" s="432"/>
      <c r="B213" s="283"/>
      <c r="C213" s="234"/>
      <c r="D213" s="430"/>
      <c r="E213" s="178">
        <v>2017</v>
      </c>
      <c r="F213" s="7">
        <f>SUM(G213:I213)</f>
        <v>23206.5</v>
      </c>
      <c r="G213" s="7"/>
      <c r="H213" s="7">
        <v>0</v>
      </c>
      <c r="I213" s="7">
        <f>30000-6793.5</f>
        <v>23206.5</v>
      </c>
      <c r="J213" s="14"/>
      <c r="K213" s="235"/>
      <c r="L213" s="99"/>
    </row>
    <row r="214" spans="1:33" ht="15">
      <c r="A214" s="432"/>
      <c r="B214" s="283"/>
      <c r="C214" s="234"/>
      <c r="D214" s="430"/>
      <c r="E214" s="178">
        <v>2018</v>
      </c>
      <c r="F214" s="7">
        <f>SUM(G214:I214)</f>
        <v>23619.9</v>
      </c>
      <c r="G214" s="7"/>
      <c r="H214" s="7">
        <v>20413.7</v>
      </c>
      <c r="I214" s="7">
        <v>3206.2</v>
      </c>
      <c r="J214" s="14"/>
      <c r="K214" s="235"/>
      <c r="L214" s="99" t="s">
        <v>372</v>
      </c>
      <c r="M214" s="99" t="s">
        <v>374</v>
      </c>
    </row>
    <row r="215" spans="1:33" ht="27.75" customHeight="1">
      <c r="A215" s="432"/>
      <c r="B215" s="283"/>
      <c r="C215" s="234"/>
      <c r="D215" s="431"/>
      <c r="E215" s="18" t="s">
        <v>18</v>
      </c>
      <c r="F215" s="8">
        <f>SUM(F211:F214)</f>
        <v>46826.400000000001</v>
      </c>
      <c r="G215" s="8"/>
      <c r="H215" s="8">
        <f>SUM(H211:H214)</f>
        <v>20413.7</v>
      </c>
      <c r="I215" s="8">
        <f>SUM(I211:I214)</f>
        <v>26412.7</v>
      </c>
      <c r="J215" s="14"/>
      <c r="K215" s="228"/>
    </row>
    <row r="216" spans="1:33" ht="15">
      <c r="A216" s="42" t="s">
        <v>122</v>
      </c>
      <c r="B216" s="166"/>
      <c r="C216" s="35"/>
      <c r="D216" s="43"/>
      <c r="E216" s="18"/>
      <c r="F216" s="3"/>
      <c r="G216" s="3"/>
      <c r="H216" s="3"/>
      <c r="I216" s="3"/>
      <c r="J216" s="2"/>
      <c r="K216" s="178"/>
    </row>
    <row r="217" spans="1:33" ht="15">
      <c r="A217" s="432" t="s">
        <v>60</v>
      </c>
      <c r="B217" s="223" t="s">
        <v>243</v>
      </c>
      <c r="C217" s="225" t="s">
        <v>61</v>
      </c>
      <c r="D217" s="227" t="s">
        <v>408</v>
      </c>
      <c r="E217" s="178">
        <v>2015</v>
      </c>
      <c r="F217" s="7">
        <f t="shared" ref="F217:F222" si="14">SUM(G217:I217)</f>
        <v>11247</v>
      </c>
      <c r="G217" s="7"/>
      <c r="H217" s="7">
        <v>11106</v>
      </c>
      <c r="I217" s="7">
        <f>176.6-5-30.6</f>
        <v>141</v>
      </c>
      <c r="J217" s="14"/>
      <c r="K217" s="227" t="s">
        <v>146</v>
      </c>
    </row>
    <row r="218" spans="1:33" ht="15">
      <c r="A218" s="432"/>
      <c r="B218" s="452"/>
      <c r="C218" s="241"/>
      <c r="D218" s="235"/>
      <c r="E218" s="178">
        <v>2016</v>
      </c>
      <c r="F218" s="7">
        <f t="shared" si="14"/>
        <v>18177.099999999995</v>
      </c>
      <c r="G218" s="7"/>
      <c r="H218" s="7">
        <v>0</v>
      </c>
      <c r="I218" s="7">
        <f>329.1+8010.2+741.4+6855.2- 5378.5-329.1+7910+38.8</f>
        <v>18177.099999999995</v>
      </c>
      <c r="J218" s="14"/>
      <c r="K218" s="235"/>
    </row>
    <row r="219" spans="1:33" ht="15">
      <c r="A219" s="432"/>
      <c r="B219" s="452"/>
      <c r="C219" s="241"/>
      <c r="D219" s="235"/>
      <c r="E219" s="178">
        <v>2017</v>
      </c>
      <c r="F219" s="7">
        <f t="shared" si="14"/>
        <v>11055.7</v>
      </c>
      <c r="G219" s="7"/>
      <c r="H219" s="7">
        <v>0</v>
      </c>
      <c r="I219" s="7">
        <f>10704.2+351.5</f>
        <v>11055.7</v>
      </c>
      <c r="J219" s="14"/>
      <c r="K219" s="235"/>
      <c r="L219" s="99"/>
      <c r="O219" s="99" t="s">
        <v>346</v>
      </c>
      <c r="P219" s="99"/>
    </row>
    <row r="220" spans="1:33">
      <c r="A220" s="432"/>
      <c r="B220" s="452"/>
      <c r="C220" s="241"/>
      <c r="D220" s="235"/>
      <c r="E220" s="178">
        <v>2018</v>
      </c>
      <c r="F220" s="14">
        <f t="shared" si="14"/>
        <v>0</v>
      </c>
      <c r="G220" s="14"/>
      <c r="H220" s="14">
        <f>5675-5675</f>
        <v>0</v>
      </c>
      <c r="I220" s="14">
        <f>299-299</f>
        <v>0</v>
      </c>
      <c r="J220" s="14"/>
      <c r="K220" s="235"/>
    </row>
    <row r="221" spans="1:33">
      <c r="A221" s="432"/>
      <c r="B221" s="452"/>
      <c r="C221" s="241"/>
      <c r="D221" s="235"/>
      <c r="E221" s="178">
        <v>2019</v>
      </c>
      <c r="F221" s="14">
        <f t="shared" si="14"/>
        <v>0</v>
      </c>
      <c r="G221" s="14"/>
      <c r="H221" s="14">
        <f>23675-23675</f>
        <v>0</v>
      </c>
      <c r="I221" s="14">
        <f>1246-1246</f>
        <v>0</v>
      </c>
      <c r="J221" s="14"/>
      <c r="K221" s="235"/>
      <c r="L221" s="99"/>
    </row>
    <row r="222" spans="1:33">
      <c r="A222" s="432"/>
      <c r="B222" s="452"/>
      <c r="C222" s="241"/>
      <c r="D222" s="235"/>
      <c r="E222" s="178">
        <v>2020</v>
      </c>
      <c r="F222" s="14">
        <f t="shared" si="14"/>
        <v>0</v>
      </c>
      <c r="G222" s="14"/>
      <c r="H222" s="14">
        <v>0</v>
      </c>
      <c r="I222" s="14">
        <v>0</v>
      </c>
      <c r="J222" s="14"/>
      <c r="K222" s="235"/>
    </row>
    <row r="223" spans="1:33" ht="60" customHeight="1">
      <c r="A223" s="484"/>
      <c r="B223" s="452"/>
      <c r="C223" s="241"/>
      <c r="D223" s="235"/>
      <c r="E223" s="26" t="s">
        <v>18</v>
      </c>
      <c r="F223" s="9">
        <f>SUM(F217:F222)</f>
        <v>40479.799999999996</v>
      </c>
      <c r="G223" s="9"/>
      <c r="H223" s="9">
        <f>SUM(H217:H222)</f>
        <v>11106</v>
      </c>
      <c r="I223" s="9">
        <f>SUM(I217:I222)</f>
        <v>29373.799999999996</v>
      </c>
      <c r="J223" s="22"/>
      <c r="K223" s="235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</row>
    <row r="224" spans="1:33" ht="15">
      <c r="A224" s="494" t="s">
        <v>244</v>
      </c>
      <c r="B224" s="282" t="s">
        <v>263</v>
      </c>
      <c r="C224" s="233" t="s">
        <v>245</v>
      </c>
      <c r="D224" s="281" t="s">
        <v>408</v>
      </c>
      <c r="E224" s="178">
        <v>2016</v>
      </c>
      <c r="F224" s="7">
        <f t="shared" ref="F224:F226" si="15">SUM(G224:I224)</f>
        <v>63958.799999999996</v>
      </c>
      <c r="G224" s="7"/>
      <c r="H224" s="7">
        <v>63319.199999999997</v>
      </c>
      <c r="I224" s="7">
        <v>639.6</v>
      </c>
      <c r="J224" s="14"/>
      <c r="K224" s="281" t="s">
        <v>146</v>
      </c>
    </row>
    <row r="225" spans="1:33" ht="15">
      <c r="A225" s="494"/>
      <c r="B225" s="282"/>
      <c r="C225" s="233"/>
      <c r="D225" s="281"/>
      <c r="E225" s="178">
        <v>2017</v>
      </c>
      <c r="F225" s="7">
        <f t="shared" si="15"/>
        <v>29803.499999999996</v>
      </c>
      <c r="G225" s="7"/>
      <c r="H225" s="7">
        <f>37157.1-7676.9</f>
        <v>29480.199999999997</v>
      </c>
      <c r="I225" s="7">
        <f>400.8-77.5</f>
        <v>323.3</v>
      </c>
      <c r="J225" s="14"/>
      <c r="K225" s="281"/>
      <c r="L225" s="99" t="s">
        <v>376</v>
      </c>
      <c r="M225" s="99"/>
      <c r="O225" s="125" t="s">
        <v>377</v>
      </c>
      <c r="P225" s="109"/>
      <c r="Q225" s="112"/>
    </row>
    <row r="226" spans="1:33" ht="15">
      <c r="A226" s="494"/>
      <c r="B226" s="282"/>
      <c r="C226" s="233"/>
      <c r="D226" s="281"/>
      <c r="E226" s="178">
        <v>2018</v>
      </c>
      <c r="F226" s="7">
        <f t="shared" si="15"/>
        <v>428.1</v>
      </c>
      <c r="G226" s="7"/>
      <c r="H226" s="7">
        <v>428.1</v>
      </c>
      <c r="I226" s="7"/>
      <c r="J226" s="14"/>
      <c r="K226" s="281"/>
      <c r="L226" s="99"/>
      <c r="M226" s="99"/>
      <c r="O226" s="104"/>
      <c r="P226" s="28"/>
      <c r="Q226" s="28"/>
    </row>
    <row r="227" spans="1:33" ht="109.5" customHeight="1">
      <c r="A227" s="494"/>
      <c r="B227" s="282"/>
      <c r="C227" s="233"/>
      <c r="D227" s="281"/>
      <c r="E227" s="18" t="s">
        <v>18</v>
      </c>
      <c r="F227" s="8">
        <f>SUM(F224:F226)</f>
        <v>94190.399999999994</v>
      </c>
      <c r="G227" s="8"/>
      <c r="H227" s="8">
        <f t="shared" ref="H227:I227" si="16">SUM(H224:H226)</f>
        <v>93227.5</v>
      </c>
      <c r="I227" s="8">
        <f t="shared" si="16"/>
        <v>962.90000000000009</v>
      </c>
      <c r="J227" s="14"/>
      <c r="K227" s="281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</row>
    <row r="228" spans="1:33" ht="15">
      <c r="A228" s="495" t="s">
        <v>246</v>
      </c>
      <c r="B228" s="452" t="s">
        <v>259</v>
      </c>
      <c r="C228" s="241" t="s">
        <v>245</v>
      </c>
      <c r="D228" s="235" t="s">
        <v>408</v>
      </c>
      <c r="E228" s="174">
        <v>2017</v>
      </c>
      <c r="F228" s="144">
        <f t="shared" ref="F228" si="17">SUM(G228:I228)</f>
        <v>18085.100000000002</v>
      </c>
      <c r="G228" s="144"/>
      <c r="H228" s="144">
        <f>22240.4-4343</f>
        <v>17897.400000000001</v>
      </c>
      <c r="I228" s="144">
        <f>224.7-37</f>
        <v>187.7</v>
      </c>
      <c r="J228" s="12"/>
      <c r="K228" s="235" t="s">
        <v>146</v>
      </c>
      <c r="L228" s="99" t="s">
        <v>378</v>
      </c>
      <c r="N228" s="99"/>
    </row>
    <row r="229" spans="1:33" ht="122.25" customHeight="1">
      <c r="A229" s="222"/>
      <c r="B229" s="224"/>
      <c r="C229" s="226"/>
      <c r="D229" s="228"/>
      <c r="E229" s="26" t="s">
        <v>18</v>
      </c>
      <c r="F229" s="9">
        <f>SUM(F228:F228)</f>
        <v>18085.100000000002</v>
      </c>
      <c r="G229" s="9"/>
      <c r="H229" s="9">
        <f>SUM(H228:H228)</f>
        <v>17897.400000000001</v>
      </c>
      <c r="I229" s="9">
        <f>SUM(I228:I228)</f>
        <v>187.7</v>
      </c>
      <c r="J229" s="22"/>
      <c r="K229" s="228"/>
      <c r="L229" s="124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</row>
    <row r="230" spans="1:33" ht="15">
      <c r="A230" s="221" t="s">
        <v>278</v>
      </c>
      <c r="B230" s="223" t="s">
        <v>329</v>
      </c>
      <c r="C230" s="225" t="s">
        <v>245</v>
      </c>
      <c r="D230" s="227" t="s">
        <v>408</v>
      </c>
      <c r="E230" s="178">
        <v>2017</v>
      </c>
      <c r="F230" s="7">
        <f t="shared" ref="F230:F231" si="18">SUM(G230:I230)</f>
        <v>5818.9</v>
      </c>
      <c r="G230" s="7"/>
      <c r="H230" s="7">
        <v>5760.7</v>
      </c>
      <c r="I230" s="7">
        <v>58.2</v>
      </c>
      <c r="J230" s="14"/>
      <c r="K230" s="227" t="s">
        <v>146</v>
      </c>
      <c r="L230" s="104" t="s">
        <v>355</v>
      </c>
    </row>
    <row r="231" spans="1:33" ht="15">
      <c r="A231" s="495"/>
      <c r="B231" s="452"/>
      <c r="C231" s="241"/>
      <c r="D231" s="235"/>
      <c r="E231" s="173">
        <v>2018</v>
      </c>
      <c r="F231" s="7">
        <f t="shared" si="18"/>
        <v>492.7</v>
      </c>
      <c r="G231" s="10"/>
      <c r="H231" s="10"/>
      <c r="I231" s="10">
        <v>492.7</v>
      </c>
      <c r="J231" s="22"/>
      <c r="K231" s="235"/>
      <c r="L231" s="104"/>
    </row>
    <row r="232" spans="1:33" ht="107.25" customHeight="1">
      <c r="A232" s="222"/>
      <c r="B232" s="224"/>
      <c r="C232" s="226"/>
      <c r="D232" s="228"/>
      <c r="E232" s="26" t="s">
        <v>18</v>
      </c>
      <c r="F232" s="9">
        <f>SUM(F230:F231)</f>
        <v>6311.5999999999995</v>
      </c>
      <c r="G232" s="9"/>
      <c r="H232" s="9">
        <f t="shared" ref="H232:I232" si="19">SUM(H230:H231)</f>
        <v>5760.7</v>
      </c>
      <c r="I232" s="9">
        <f t="shared" si="19"/>
        <v>550.9</v>
      </c>
      <c r="J232" s="22"/>
      <c r="K232" s="2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</row>
    <row r="233" spans="1:33" ht="33" customHeight="1">
      <c r="A233" s="221" t="s">
        <v>343</v>
      </c>
      <c r="B233" s="223" t="s">
        <v>379</v>
      </c>
      <c r="C233" s="225" t="s">
        <v>245</v>
      </c>
      <c r="D233" s="227" t="s">
        <v>408</v>
      </c>
      <c r="E233" s="178">
        <v>2017</v>
      </c>
      <c r="F233" s="7">
        <f t="shared" ref="F233" si="20">SUM(G233:I233)</f>
        <v>2615.6000000000004</v>
      </c>
      <c r="G233" s="7"/>
      <c r="H233" s="7">
        <v>2596.3000000000002</v>
      </c>
      <c r="I233" s="7">
        <v>19.3</v>
      </c>
      <c r="J233" s="14"/>
      <c r="K233" s="227" t="s">
        <v>146</v>
      </c>
      <c r="L233" s="104" t="s">
        <v>355</v>
      </c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</row>
    <row r="234" spans="1:33" ht="92.25" customHeight="1">
      <c r="A234" s="222"/>
      <c r="B234" s="224"/>
      <c r="C234" s="226"/>
      <c r="D234" s="228"/>
      <c r="E234" s="26" t="s">
        <v>18</v>
      </c>
      <c r="F234" s="9">
        <f>SUM(F233:F233)</f>
        <v>2615.6000000000004</v>
      </c>
      <c r="G234" s="9"/>
      <c r="H234" s="9">
        <f>SUM(H233:H233)</f>
        <v>2596.3000000000002</v>
      </c>
      <c r="I234" s="9">
        <f>SUM(I233:I233)</f>
        <v>19.3</v>
      </c>
      <c r="J234" s="22"/>
      <c r="K234" s="228"/>
      <c r="L234" s="104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</row>
    <row r="235" spans="1:33" ht="33" customHeight="1">
      <c r="A235" s="221" t="s">
        <v>413</v>
      </c>
      <c r="B235" s="223" t="s">
        <v>414</v>
      </c>
      <c r="C235" s="225" t="s">
        <v>245</v>
      </c>
      <c r="D235" s="227" t="s">
        <v>408</v>
      </c>
      <c r="E235" s="178">
        <v>2018</v>
      </c>
      <c r="F235" s="7">
        <f t="shared" ref="F235" si="21">SUM(G235:I235)</f>
        <v>25000</v>
      </c>
      <c r="G235" s="7"/>
      <c r="H235" s="7">
        <v>24750</v>
      </c>
      <c r="I235" s="7">
        <v>250</v>
      </c>
      <c r="J235" s="14"/>
      <c r="K235" s="227" t="s">
        <v>146</v>
      </c>
      <c r="L235" s="104" t="s">
        <v>355</v>
      </c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</row>
    <row r="236" spans="1:33" ht="92.25" customHeight="1">
      <c r="A236" s="222"/>
      <c r="B236" s="224"/>
      <c r="C236" s="226"/>
      <c r="D236" s="228"/>
      <c r="E236" s="26" t="s">
        <v>18</v>
      </c>
      <c r="F236" s="9">
        <f>SUM(F235:F235)</f>
        <v>25000</v>
      </c>
      <c r="G236" s="9"/>
      <c r="H236" s="9">
        <f>SUM(H235:H235)</f>
        <v>24750</v>
      </c>
      <c r="I236" s="9">
        <f>SUM(I235:I235)</f>
        <v>250</v>
      </c>
      <c r="J236" s="22"/>
      <c r="K236" s="228"/>
      <c r="L236" s="104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</row>
    <row r="237" spans="1:33" ht="14.25" customHeight="1">
      <c r="A237" s="373" t="s">
        <v>216</v>
      </c>
      <c r="B237" s="337"/>
      <c r="C237" s="337"/>
      <c r="D237" s="337"/>
      <c r="E237" s="337"/>
      <c r="F237" s="337"/>
      <c r="G237" s="337"/>
      <c r="H237" s="337"/>
      <c r="I237" s="337"/>
      <c r="J237" s="337"/>
      <c r="K237" s="337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28"/>
    </row>
    <row r="238" spans="1:33" ht="15">
      <c r="A238" s="432" t="s">
        <v>119</v>
      </c>
      <c r="B238" s="231" t="s">
        <v>147</v>
      </c>
      <c r="C238" s="225" t="s">
        <v>61</v>
      </c>
      <c r="D238" s="227" t="s">
        <v>408</v>
      </c>
      <c r="E238" s="178">
        <v>2015</v>
      </c>
      <c r="F238" s="7">
        <f>SUM(G238:I238)</f>
        <v>3333.3</v>
      </c>
      <c r="G238" s="7"/>
      <c r="H238" s="7">
        <v>3300</v>
      </c>
      <c r="I238" s="7">
        <v>33.299999999999997</v>
      </c>
      <c r="J238" s="14"/>
      <c r="K238" s="227" t="s">
        <v>146</v>
      </c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</row>
    <row r="239" spans="1:33" ht="15">
      <c r="A239" s="432"/>
      <c r="B239" s="232"/>
      <c r="C239" s="241"/>
      <c r="D239" s="235"/>
      <c r="E239" s="178">
        <v>2016</v>
      </c>
      <c r="F239" s="7">
        <f>SUM(G239:I239)</f>
        <v>7820.0999999999995</v>
      </c>
      <c r="G239" s="7"/>
      <c r="H239" s="7">
        <f>0+7375.9</f>
        <v>7375.9</v>
      </c>
      <c r="I239" s="7">
        <f>369.7+74.5</f>
        <v>444.2</v>
      </c>
      <c r="J239" s="14"/>
      <c r="K239" s="235"/>
    </row>
    <row r="240" spans="1:33" ht="15">
      <c r="A240" s="432"/>
      <c r="B240" s="232"/>
      <c r="C240" s="241"/>
      <c r="D240" s="235"/>
      <c r="E240" s="178">
        <v>2017</v>
      </c>
      <c r="F240" s="7">
        <f>SUM(G240:I240)</f>
        <v>3699.9</v>
      </c>
      <c r="G240" s="7"/>
      <c r="H240" s="7">
        <v>3662.9</v>
      </c>
      <c r="I240" s="7">
        <v>37</v>
      </c>
      <c r="J240" s="14"/>
      <c r="K240" s="235"/>
      <c r="L240" s="4" t="s">
        <v>380</v>
      </c>
    </row>
    <row r="241" spans="1:32">
      <c r="A241" s="432"/>
      <c r="B241" s="232"/>
      <c r="C241" s="241"/>
      <c r="D241" s="235"/>
      <c r="E241" s="178">
        <v>2018</v>
      </c>
      <c r="F241" s="14"/>
      <c r="G241" s="14"/>
      <c r="H241" s="14"/>
      <c r="I241" s="14"/>
      <c r="J241" s="14"/>
      <c r="K241" s="235"/>
    </row>
    <row r="242" spans="1:32">
      <c r="A242" s="432"/>
      <c r="B242" s="232"/>
      <c r="C242" s="241"/>
      <c r="D242" s="235"/>
      <c r="E242" s="178">
        <v>2019</v>
      </c>
      <c r="F242" s="14"/>
      <c r="G242" s="14"/>
      <c r="H242" s="14"/>
      <c r="I242" s="14"/>
      <c r="J242" s="14"/>
      <c r="K242" s="235"/>
    </row>
    <row r="243" spans="1:32">
      <c r="A243" s="432"/>
      <c r="B243" s="232"/>
      <c r="C243" s="241"/>
      <c r="D243" s="235"/>
      <c r="E243" s="178">
        <v>2020</v>
      </c>
      <c r="F243" s="14"/>
      <c r="G243" s="14"/>
      <c r="H243" s="14"/>
      <c r="I243" s="14"/>
      <c r="J243" s="14"/>
      <c r="K243" s="235"/>
    </row>
    <row r="244" spans="1:32" ht="60.75" customHeight="1">
      <c r="A244" s="432"/>
      <c r="B244" s="232"/>
      <c r="C244" s="226"/>
      <c r="D244" s="228"/>
      <c r="E244" s="18" t="s">
        <v>18</v>
      </c>
      <c r="F244" s="8">
        <f>SUM(F238:F243)</f>
        <v>14853.3</v>
      </c>
      <c r="G244" s="8"/>
      <c r="H244" s="8">
        <f>SUM(H238:H243)</f>
        <v>14338.8</v>
      </c>
      <c r="I244" s="8">
        <f>SUM(I238:I243)</f>
        <v>514.5</v>
      </c>
      <c r="J244" s="14"/>
      <c r="K244" s="228"/>
    </row>
    <row r="245" spans="1:32" ht="15" customHeight="1">
      <c r="A245" s="280" t="s">
        <v>279</v>
      </c>
      <c r="B245" s="231" t="s">
        <v>248</v>
      </c>
      <c r="C245" s="233" t="s">
        <v>217</v>
      </c>
      <c r="D245" s="281" t="s">
        <v>218</v>
      </c>
      <c r="E245" s="178">
        <v>2016</v>
      </c>
      <c r="F245" s="7">
        <f>G245+H245+I245</f>
        <v>10976.3</v>
      </c>
      <c r="G245" s="8"/>
      <c r="H245" s="8"/>
      <c r="I245" s="7">
        <f>5500+3899.9+1247.3+329.1</f>
        <v>10976.3</v>
      </c>
      <c r="J245" s="14"/>
      <c r="K245" s="281" t="s">
        <v>140</v>
      </c>
    </row>
    <row r="246" spans="1:32" ht="13.5" customHeight="1">
      <c r="A246" s="280"/>
      <c r="B246" s="231"/>
      <c r="C246" s="233"/>
      <c r="D246" s="281"/>
      <c r="E246" s="178">
        <v>2017</v>
      </c>
      <c r="F246" s="7">
        <f>G246+H246+I246</f>
        <v>6064</v>
      </c>
      <c r="G246" s="8"/>
      <c r="H246" s="8"/>
      <c r="I246" s="7">
        <f>6314-250</f>
        <v>6064</v>
      </c>
      <c r="J246" s="14"/>
      <c r="K246" s="281"/>
      <c r="L246" s="179"/>
      <c r="M246" s="310"/>
      <c r="N246" s="310"/>
      <c r="O246" s="310"/>
      <c r="P246" s="99" t="s">
        <v>249</v>
      </c>
    </row>
    <row r="247" spans="1:32" ht="18.75" customHeight="1">
      <c r="A247" s="280"/>
      <c r="B247" s="231"/>
      <c r="C247" s="233"/>
      <c r="D247" s="281"/>
      <c r="E247" s="178">
        <v>2018</v>
      </c>
      <c r="F247" s="7">
        <f>G247+H247+I247</f>
        <v>1350</v>
      </c>
      <c r="G247" s="8"/>
      <c r="H247" s="8"/>
      <c r="I247" s="7">
        <v>1350</v>
      </c>
      <c r="J247" s="14"/>
      <c r="K247" s="281"/>
      <c r="L247" s="99"/>
      <c r="M247" s="99" t="s">
        <v>251</v>
      </c>
    </row>
    <row r="248" spans="1:32" ht="16.5" customHeight="1">
      <c r="A248" s="280"/>
      <c r="B248" s="231"/>
      <c r="C248" s="233"/>
      <c r="D248" s="281"/>
      <c r="E248" s="178">
        <v>2019</v>
      </c>
      <c r="F248" s="7">
        <f>G248+H248+I248</f>
        <v>0</v>
      </c>
      <c r="G248" s="8"/>
      <c r="H248" s="8"/>
      <c r="I248" s="7">
        <v>0</v>
      </c>
      <c r="J248" s="14"/>
      <c r="K248" s="281"/>
      <c r="L248" s="99"/>
      <c r="M248" s="99" t="s">
        <v>252</v>
      </c>
    </row>
    <row r="249" spans="1:32" ht="15.75" customHeight="1">
      <c r="A249" s="280"/>
      <c r="B249" s="231"/>
      <c r="C249" s="233"/>
      <c r="D249" s="281"/>
      <c r="E249" s="178">
        <v>2020</v>
      </c>
      <c r="F249" s="7">
        <v>0</v>
      </c>
      <c r="G249" s="7"/>
      <c r="H249" s="7"/>
      <c r="I249" s="7">
        <v>0</v>
      </c>
      <c r="J249" s="14"/>
      <c r="K249" s="281"/>
    </row>
    <row r="250" spans="1:32" ht="16.5" customHeight="1">
      <c r="A250" s="280"/>
      <c r="B250" s="231"/>
      <c r="C250" s="233"/>
      <c r="D250" s="281"/>
      <c r="E250" s="18" t="s">
        <v>18</v>
      </c>
      <c r="F250" s="8">
        <f>SUM(F245:F249)</f>
        <v>18390.3</v>
      </c>
      <c r="G250" s="8"/>
      <c r="H250" s="8">
        <v>0</v>
      </c>
      <c r="I250" s="8">
        <f>SUM(I245:I249)</f>
        <v>18390.3</v>
      </c>
      <c r="J250" s="14"/>
      <c r="K250" s="281"/>
    </row>
    <row r="251" spans="1:32" ht="15" customHeight="1">
      <c r="A251" s="373" t="s">
        <v>410</v>
      </c>
      <c r="B251" s="499"/>
      <c r="C251" s="499"/>
      <c r="D251" s="499"/>
      <c r="E251" s="499"/>
      <c r="F251" s="499"/>
      <c r="G251" s="499"/>
      <c r="H251" s="499"/>
      <c r="I251" s="499"/>
      <c r="J251" s="499"/>
      <c r="K251" s="499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</row>
    <row r="252" spans="1:32" ht="12.75" customHeight="1">
      <c r="A252" s="280" t="s">
        <v>282</v>
      </c>
      <c r="B252" s="231" t="s">
        <v>315</v>
      </c>
      <c r="C252" s="233" t="s">
        <v>61</v>
      </c>
      <c r="D252" s="281" t="s">
        <v>218</v>
      </c>
      <c r="E252" s="178">
        <v>2015</v>
      </c>
      <c r="F252" s="7">
        <f t="shared" ref="F252:F257" si="22">SUM(G252:I252)</f>
        <v>28178.2</v>
      </c>
      <c r="G252" s="7"/>
      <c r="H252" s="7"/>
      <c r="I252" s="7">
        <f>27846.2+850-518</f>
        <v>28178.2</v>
      </c>
      <c r="J252" s="14"/>
      <c r="K252" s="227" t="s">
        <v>138</v>
      </c>
      <c r="L252" s="104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</row>
    <row r="253" spans="1:32" ht="12.75" customHeight="1">
      <c r="A253" s="280"/>
      <c r="B253" s="232"/>
      <c r="C253" s="233"/>
      <c r="D253" s="281"/>
      <c r="E253" s="178">
        <v>2016</v>
      </c>
      <c r="F253" s="7">
        <f t="shared" si="22"/>
        <v>27397.3</v>
      </c>
      <c r="G253" s="7"/>
      <c r="H253" s="7"/>
      <c r="I253" s="7">
        <f>29107-180-453.2-1076.5</f>
        <v>27397.3</v>
      </c>
      <c r="J253" s="14"/>
      <c r="K253" s="235"/>
      <c r="L253" s="46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</row>
    <row r="254" spans="1:32" ht="12.75" customHeight="1">
      <c r="A254" s="280"/>
      <c r="B254" s="232"/>
      <c r="C254" s="233"/>
      <c r="D254" s="281"/>
      <c r="E254" s="178">
        <v>2017</v>
      </c>
      <c r="F254" s="7">
        <f t="shared" si="22"/>
        <v>60180.4</v>
      </c>
      <c r="G254" s="7"/>
      <c r="H254" s="7"/>
      <c r="I254" s="7">
        <f>28167.4+27751.9+4261.1</f>
        <v>60180.4</v>
      </c>
      <c r="J254" s="14"/>
      <c r="K254" s="235"/>
      <c r="L254" s="104"/>
      <c r="M254" s="104" t="s">
        <v>370</v>
      </c>
      <c r="N254" s="28"/>
      <c r="O254" s="104" t="s">
        <v>366</v>
      </c>
      <c r="P254" s="104">
        <v>861.1</v>
      </c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</row>
    <row r="255" spans="1:32" ht="12.75" customHeight="1">
      <c r="A255" s="280"/>
      <c r="B255" s="232"/>
      <c r="C255" s="233"/>
      <c r="D255" s="281"/>
      <c r="E255" s="178">
        <v>2018</v>
      </c>
      <c r="F255" s="7">
        <f t="shared" si="22"/>
        <v>65289</v>
      </c>
      <c r="G255" s="7"/>
      <c r="H255" s="7">
        <v>1042.9000000000001</v>
      </c>
      <c r="I255" s="7">
        <v>64246.1</v>
      </c>
      <c r="J255" s="14"/>
      <c r="K255" s="235"/>
      <c r="L255" s="104"/>
      <c r="M255" s="104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</row>
    <row r="256" spans="1:32" ht="12.75" customHeight="1">
      <c r="A256" s="280"/>
      <c r="B256" s="232"/>
      <c r="C256" s="233"/>
      <c r="D256" s="281"/>
      <c r="E256" s="178">
        <v>2019</v>
      </c>
      <c r="F256" s="7">
        <f t="shared" si="22"/>
        <v>1042.9000000000001</v>
      </c>
      <c r="G256" s="7"/>
      <c r="H256" s="7">
        <v>1042.9000000000001</v>
      </c>
      <c r="I256" s="7">
        <v>0</v>
      </c>
      <c r="J256" s="14"/>
      <c r="K256" s="235"/>
      <c r="L256" s="104"/>
      <c r="M256" s="104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</row>
    <row r="257" spans="1:32" ht="12.75" customHeight="1">
      <c r="A257" s="280"/>
      <c r="B257" s="232"/>
      <c r="C257" s="233"/>
      <c r="D257" s="281"/>
      <c r="E257" s="178">
        <v>2020</v>
      </c>
      <c r="F257" s="7">
        <f t="shared" si="22"/>
        <v>1122.9000000000001</v>
      </c>
      <c r="G257" s="7"/>
      <c r="H257" s="7">
        <v>1042.9000000000001</v>
      </c>
      <c r="I257" s="7">
        <v>80</v>
      </c>
      <c r="J257" s="14"/>
      <c r="K257" s="235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</row>
    <row r="258" spans="1:32" ht="36" customHeight="1">
      <c r="A258" s="280"/>
      <c r="B258" s="232"/>
      <c r="C258" s="233"/>
      <c r="D258" s="281"/>
      <c r="E258" s="26" t="s">
        <v>18</v>
      </c>
      <c r="F258" s="9">
        <f>SUM(F252:F257)</f>
        <v>183210.69999999998</v>
      </c>
      <c r="G258" s="9"/>
      <c r="H258" s="9">
        <f>SUM(H252:H257)</f>
        <v>3128.7000000000003</v>
      </c>
      <c r="I258" s="9">
        <f>SUM(I252:I257)</f>
        <v>180082</v>
      </c>
      <c r="J258" s="22"/>
      <c r="K258" s="228"/>
    </row>
    <row r="259" spans="1:32" ht="12.75" customHeight="1">
      <c r="A259" s="280" t="s">
        <v>283</v>
      </c>
      <c r="B259" s="231" t="s">
        <v>264</v>
      </c>
      <c r="C259" s="233" t="s">
        <v>61</v>
      </c>
      <c r="D259" s="281" t="s">
        <v>218</v>
      </c>
      <c r="E259" s="178">
        <v>2017</v>
      </c>
      <c r="F259" s="7">
        <f t="shared" ref="F259:F262" si="23">SUM(G259:I259)</f>
        <v>4240.7</v>
      </c>
      <c r="G259" s="7"/>
      <c r="H259" s="7"/>
      <c r="I259" s="7">
        <f>4186+54.7</f>
        <v>4240.7</v>
      </c>
      <c r="J259" s="14"/>
      <c r="K259" s="227" t="s">
        <v>272</v>
      </c>
      <c r="L259" s="104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</row>
    <row r="260" spans="1:32" ht="12.75" customHeight="1">
      <c r="A260" s="280"/>
      <c r="B260" s="232"/>
      <c r="C260" s="233"/>
      <c r="D260" s="281"/>
      <c r="E260" s="178">
        <v>2018</v>
      </c>
      <c r="F260" s="14">
        <f t="shared" si="23"/>
        <v>0</v>
      </c>
      <c r="G260" s="14"/>
      <c r="H260" s="14"/>
      <c r="I260" s="14"/>
      <c r="J260" s="14"/>
      <c r="K260" s="235"/>
      <c r="L260" s="46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</row>
    <row r="261" spans="1:32" ht="12.75" customHeight="1">
      <c r="A261" s="280"/>
      <c r="B261" s="232"/>
      <c r="C261" s="233"/>
      <c r="D261" s="281"/>
      <c r="E261" s="178">
        <v>2019</v>
      </c>
      <c r="F261" s="14">
        <f t="shared" si="23"/>
        <v>0</v>
      </c>
      <c r="G261" s="14"/>
      <c r="H261" s="14"/>
      <c r="I261" s="14"/>
      <c r="J261" s="14"/>
      <c r="K261" s="235"/>
      <c r="L261" s="104"/>
      <c r="M261" s="104" t="s">
        <v>253</v>
      </c>
      <c r="N261" s="28"/>
      <c r="O261" s="28"/>
      <c r="P261" s="104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</row>
    <row r="262" spans="1:32" ht="12.75" customHeight="1">
      <c r="A262" s="280"/>
      <c r="B262" s="232"/>
      <c r="C262" s="233"/>
      <c r="D262" s="281"/>
      <c r="E262" s="178">
        <v>2020</v>
      </c>
      <c r="F262" s="14">
        <f t="shared" si="23"/>
        <v>0</v>
      </c>
      <c r="G262" s="14"/>
      <c r="H262" s="14"/>
      <c r="I262" s="14"/>
      <c r="J262" s="14"/>
      <c r="K262" s="235"/>
      <c r="L262" s="104"/>
      <c r="M262" s="104" t="s">
        <v>254</v>
      </c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</row>
    <row r="263" spans="1:32" ht="36" customHeight="1">
      <c r="A263" s="280"/>
      <c r="B263" s="232"/>
      <c r="C263" s="233"/>
      <c r="D263" s="281"/>
      <c r="E263" s="26" t="s">
        <v>18</v>
      </c>
      <c r="F263" s="9">
        <f>SUM(F259:F262)</f>
        <v>4240.7</v>
      </c>
      <c r="G263" s="9"/>
      <c r="H263" s="9"/>
      <c r="I263" s="9">
        <f>SUM(I259:I262)</f>
        <v>4240.7</v>
      </c>
      <c r="J263" s="22"/>
      <c r="K263" s="228"/>
      <c r="N263" s="99" t="s">
        <v>344</v>
      </c>
      <c r="P263" s="99" t="s">
        <v>345</v>
      </c>
    </row>
    <row r="264" spans="1:32" ht="12.75" customHeight="1">
      <c r="A264" s="280" t="s">
        <v>291</v>
      </c>
      <c r="B264" s="231" t="s">
        <v>265</v>
      </c>
      <c r="C264" s="233" t="s">
        <v>61</v>
      </c>
      <c r="D264" s="281" t="s">
        <v>218</v>
      </c>
      <c r="E264" s="178">
        <v>2017</v>
      </c>
      <c r="F264" s="7">
        <f t="shared" ref="F264:F267" si="24">SUM(G264:I264)</f>
        <v>50179.899999999994</v>
      </c>
      <c r="G264" s="7"/>
      <c r="H264" s="7">
        <f>39366.1+2524.5-9876.8</f>
        <v>32013.8</v>
      </c>
      <c r="I264" s="7">
        <f>19299.3-1133.2</f>
        <v>18166.099999999999</v>
      </c>
      <c r="J264" s="14"/>
      <c r="K264" s="281" t="s">
        <v>273</v>
      </c>
      <c r="L264" s="104" t="s">
        <v>364</v>
      </c>
      <c r="M264" s="104" t="s">
        <v>363</v>
      </c>
      <c r="N264" s="28"/>
      <c r="O264" s="28"/>
      <c r="P264" s="104" t="s">
        <v>365</v>
      </c>
      <c r="Q264" s="28"/>
      <c r="R264" s="104" t="s">
        <v>348</v>
      </c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</row>
    <row r="265" spans="1:32" ht="12.75" customHeight="1">
      <c r="A265" s="280"/>
      <c r="B265" s="232"/>
      <c r="C265" s="233"/>
      <c r="D265" s="281"/>
      <c r="E265" s="178">
        <v>2018</v>
      </c>
      <c r="F265" s="7">
        <f t="shared" si="24"/>
        <v>59433.5</v>
      </c>
      <c r="G265" s="7"/>
      <c r="H265" s="7">
        <v>45376.800000000003</v>
      </c>
      <c r="I265" s="7">
        <v>14056.7</v>
      </c>
      <c r="J265" s="14"/>
      <c r="K265" s="281"/>
      <c r="L265" s="46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</row>
    <row r="266" spans="1:32" ht="12.75" customHeight="1">
      <c r="A266" s="280"/>
      <c r="B266" s="232"/>
      <c r="C266" s="233"/>
      <c r="D266" s="281"/>
      <c r="E266" s="178">
        <v>2019</v>
      </c>
      <c r="F266" s="7">
        <f t="shared" si="24"/>
        <v>45739.8</v>
      </c>
      <c r="G266" s="7"/>
      <c r="H266" s="7">
        <v>45739.8</v>
      </c>
      <c r="I266" s="7">
        <v>0</v>
      </c>
      <c r="J266" s="14"/>
      <c r="K266" s="281"/>
      <c r="L266" s="104"/>
      <c r="M266" s="104" t="s">
        <v>253</v>
      </c>
      <c r="N266" s="28"/>
      <c r="O266" s="28"/>
      <c r="P266" s="104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</row>
    <row r="267" spans="1:32" ht="12.75" customHeight="1">
      <c r="A267" s="280"/>
      <c r="B267" s="232"/>
      <c r="C267" s="233"/>
      <c r="D267" s="281"/>
      <c r="E267" s="178">
        <v>2020</v>
      </c>
      <c r="F267" s="7">
        <f t="shared" si="24"/>
        <v>46120.4</v>
      </c>
      <c r="G267" s="7"/>
      <c r="H267" s="7">
        <v>46120.4</v>
      </c>
      <c r="I267" s="7">
        <v>0</v>
      </c>
      <c r="J267" s="14"/>
      <c r="K267" s="281"/>
      <c r="L267" s="104"/>
      <c r="M267" s="104" t="s">
        <v>254</v>
      </c>
      <c r="N267" s="28"/>
      <c r="O267" s="28"/>
      <c r="P267" s="28"/>
      <c r="Q267" s="28"/>
      <c r="R267" s="124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</row>
    <row r="268" spans="1:32" ht="36" customHeight="1">
      <c r="A268" s="280"/>
      <c r="B268" s="232"/>
      <c r="C268" s="233"/>
      <c r="D268" s="281"/>
      <c r="E268" s="18" t="s">
        <v>18</v>
      </c>
      <c r="F268" s="8">
        <f>SUM(F264:F267)</f>
        <v>201473.6</v>
      </c>
      <c r="G268" s="8"/>
      <c r="H268" s="8">
        <f>SUM(H264:H267)</f>
        <v>169250.80000000002</v>
      </c>
      <c r="I268" s="8">
        <f>SUM(I264:I267)</f>
        <v>32222.799999999999</v>
      </c>
      <c r="J268" s="14"/>
      <c r="K268" s="281"/>
    </row>
    <row r="269" spans="1:32" ht="12.75" customHeight="1">
      <c r="A269" s="496" t="s">
        <v>309</v>
      </c>
      <c r="B269" s="238" t="s">
        <v>310</v>
      </c>
      <c r="C269" s="233" t="s">
        <v>313</v>
      </c>
      <c r="D269" s="281" t="s">
        <v>218</v>
      </c>
      <c r="E269" s="178">
        <v>2017</v>
      </c>
      <c r="F269" s="7">
        <f t="shared" ref="F269:F272" si="25">SUM(G269:I269)</f>
        <v>12698.3</v>
      </c>
      <c r="G269" s="7"/>
      <c r="H269" s="7"/>
      <c r="I269" s="7">
        <f>12064+626.3+8</f>
        <v>12698.3</v>
      </c>
      <c r="J269" s="14"/>
      <c r="K269" s="267" t="s">
        <v>397</v>
      </c>
      <c r="L269" s="104" t="s">
        <v>361</v>
      </c>
      <c r="M269" s="104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</row>
    <row r="270" spans="1:32" ht="12.75" customHeight="1">
      <c r="A270" s="496"/>
      <c r="B270" s="454"/>
      <c r="C270" s="233"/>
      <c r="D270" s="281"/>
      <c r="E270" s="178">
        <v>2018</v>
      </c>
      <c r="F270" s="7">
        <f t="shared" si="25"/>
        <v>8500</v>
      </c>
      <c r="G270" s="7"/>
      <c r="H270" s="7"/>
      <c r="I270" s="7">
        <v>8500</v>
      </c>
      <c r="J270" s="14"/>
      <c r="K270" s="497"/>
      <c r="L270" s="46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</row>
    <row r="271" spans="1:32" ht="12.75" customHeight="1">
      <c r="A271" s="496"/>
      <c r="B271" s="454"/>
      <c r="C271" s="233"/>
      <c r="D271" s="281"/>
      <c r="E271" s="178">
        <v>2019</v>
      </c>
      <c r="F271" s="7">
        <f t="shared" si="25"/>
        <v>0</v>
      </c>
      <c r="G271" s="7"/>
      <c r="H271" s="7"/>
      <c r="I271" s="7">
        <v>0</v>
      </c>
      <c r="J271" s="14"/>
      <c r="K271" s="497"/>
      <c r="L271" s="104"/>
      <c r="M271" s="104"/>
      <c r="N271" s="28"/>
      <c r="O271" s="28"/>
      <c r="P271" s="104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</row>
    <row r="272" spans="1:32" ht="12.75" customHeight="1">
      <c r="A272" s="496"/>
      <c r="B272" s="454"/>
      <c r="C272" s="233"/>
      <c r="D272" s="281"/>
      <c r="E272" s="178">
        <v>2020</v>
      </c>
      <c r="F272" s="7">
        <f t="shared" si="25"/>
        <v>0</v>
      </c>
      <c r="G272" s="7"/>
      <c r="H272" s="7"/>
      <c r="I272" s="7">
        <v>0</v>
      </c>
      <c r="J272" s="14"/>
      <c r="K272" s="497"/>
      <c r="L272" s="104"/>
      <c r="M272" s="104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</row>
    <row r="273" spans="1:36" ht="36" customHeight="1">
      <c r="A273" s="496"/>
      <c r="B273" s="454"/>
      <c r="C273" s="233"/>
      <c r="D273" s="281"/>
      <c r="E273" s="26" t="s">
        <v>18</v>
      </c>
      <c r="F273" s="9">
        <f>SUM(F269:F272)</f>
        <v>21198.3</v>
      </c>
      <c r="G273" s="9"/>
      <c r="H273" s="9"/>
      <c r="I273" s="9">
        <f>SUM(I269:I272)</f>
        <v>21198.3</v>
      </c>
      <c r="J273" s="22"/>
      <c r="K273" s="498"/>
    </row>
    <row r="274" spans="1:36" ht="12.75" customHeight="1">
      <c r="A274" s="496" t="s">
        <v>311</v>
      </c>
      <c r="B274" s="238" t="s">
        <v>312</v>
      </c>
      <c r="C274" s="233" t="s">
        <v>313</v>
      </c>
      <c r="D274" s="281" t="s">
        <v>218</v>
      </c>
      <c r="E274" s="178">
        <v>2017</v>
      </c>
      <c r="F274" s="7">
        <f t="shared" ref="F274:F277" si="26">SUM(G274:I274)</f>
        <v>7165.3</v>
      </c>
      <c r="G274" s="7"/>
      <c r="H274" s="7"/>
      <c r="I274" s="7">
        <v>7165.3</v>
      </c>
      <c r="J274" s="14"/>
      <c r="K274" s="267" t="s">
        <v>398</v>
      </c>
      <c r="L274" s="104" t="s">
        <v>381</v>
      </c>
      <c r="M274" s="104"/>
      <c r="N274" s="104" t="s">
        <v>362</v>
      </c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</row>
    <row r="275" spans="1:36" ht="12.75" customHeight="1">
      <c r="A275" s="496"/>
      <c r="B275" s="454"/>
      <c r="C275" s="233"/>
      <c r="D275" s="281"/>
      <c r="E275" s="178">
        <v>2018</v>
      </c>
      <c r="F275" s="7">
        <f t="shared" si="26"/>
        <v>5450</v>
      </c>
      <c r="G275" s="7"/>
      <c r="H275" s="7"/>
      <c r="I275" s="7">
        <v>5450</v>
      </c>
      <c r="J275" s="14"/>
      <c r="K275" s="268"/>
      <c r="L275" s="46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</row>
    <row r="276" spans="1:36" ht="12.75" customHeight="1">
      <c r="A276" s="496"/>
      <c r="B276" s="454"/>
      <c r="C276" s="233"/>
      <c r="D276" s="281"/>
      <c r="E276" s="178">
        <v>2019</v>
      </c>
      <c r="F276" s="7">
        <f t="shared" si="26"/>
        <v>0</v>
      </c>
      <c r="G276" s="7"/>
      <c r="H276" s="7"/>
      <c r="I276" s="7">
        <v>0</v>
      </c>
      <c r="J276" s="14"/>
      <c r="K276" s="268"/>
      <c r="L276" s="104"/>
      <c r="M276" s="104"/>
      <c r="N276" s="28"/>
      <c r="O276" s="28"/>
      <c r="P276" s="104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</row>
    <row r="277" spans="1:36" ht="12.75" customHeight="1">
      <c r="A277" s="496"/>
      <c r="B277" s="454"/>
      <c r="C277" s="233"/>
      <c r="D277" s="281"/>
      <c r="E277" s="178">
        <v>2020</v>
      </c>
      <c r="F277" s="7">
        <f t="shared" si="26"/>
        <v>0</v>
      </c>
      <c r="G277" s="7"/>
      <c r="H277" s="7"/>
      <c r="I277" s="7">
        <v>0</v>
      </c>
      <c r="J277" s="14"/>
      <c r="K277" s="268"/>
      <c r="L277" s="104"/>
      <c r="M277" s="104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</row>
    <row r="278" spans="1:36" ht="36" customHeight="1">
      <c r="A278" s="496"/>
      <c r="B278" s="454"/>
      <c r="C278" s="233"/>
      <c r="D278" s="281"/>
      <c r="E278" s="26" t="s">
        <v>18</v>
      </c>
      <c r="F278" s="9">
        <f>SUM(F274:F277)</f>
        <v>12615.3</v>
      </c>
      <c r="G278" s="9"/>
      <c r="H278" s="9"/>
      <c r="I278" s="9">
        <f>SUM(I274:I277)</f>
        <v>12615.3</v>
      </c>
      <c r="J278" s="22"/>
      <c r="K278" s="502"/>
    </row>
    <row r="279" spans="1:36" ht="16.5" customHeight="1">
      <c r="A279" s="373" t="s">
        <v>220</v>
      </c>
      <c r="B279" s="339"/>
      <c r="C279" s="339"/>
      <c r="D279" s="339"/>
      <c r="E279" s="18" t="s">
        <v>18</v>
      </c>
      <c r="F279" s="141">
        <f>F258+F244+F223+F210+F203+F250+F227+F229+F215+F263+F268+F273+F278+F234+F232+F236</f>
        <v>720881.6</v>
      </c>
      <c r="G279" s="152"/>
      <c r="H279" s="141">
        <f>H203+H210+H215+H223+H227+H229+H232+H234+H244+H250+H258+H263+H268+H273+H278+H236</f>
        <v>393541.5</v>
      </c>
      <c r="I279" s="141">
        <f>I203+I210+I215+I223+I227+I229+I232+I234+I244+I250+I258+I263+I268+I273+I278+I236</f>
        <v>327340.09999999998</v>
      </c>
      <c r="J279" s="90"/>
      <c r="K279" s="89"/>
      <c r="L279" s="126"/>
      <c r="M279" s="127"/>
      <c r="N279" s="127"/>
      <c r="O279" s="99"/>
    </row>
    <row r="280" spans="1:36" ht="18.75" customHeight="1">
      <c r="A280" s="500" t="s">
        <v>62</v>
      </c>
      <c r="B280" s="500"/>
      <c r="C280" s="500"/>
      <c r="D280" s="500"/>
      <c r="E280" s="500"/>
      <c r="F280" s="500"/>
      <c r="G280" s="500"/>
      <c r="H280" s="500"/>
      <c r="I280" s="500"/>
      <c r="J280" s="500"/>
      <c r="K280" s="500"/>
    </row>
    <row r="281" spans="1:36" ht="31.5" customHeight="1">
      <c r="A281" s="501" t="s">
        <v>63</v>
      </c>
      <c r="B281" s="339"/>
      <c r="C281" s="339"/>
      <c r="D281" s="339"/>
      <c r="E281" s="339"/>
      <c r="F281" s="339"/>
      <c r="G281" s="339"/>
      <c r="H281" s="339"/>
      <c r="I281" s="339"/>
      <c r="J281" s="339"/>
      <c r="K281" s="339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  <c r="AC281" s="47"/>
      <c r="AD281" s="47"/>
      <c r="AE281" s="47"/>
      <c r="AF281" s="47"/>
      <c r="AG281" s="28"/>
      <c r="AH281" s="28"/>
      <c r="AI281" s="28"/>
      <c r="AJ281" s="28"/>
    </row>
    <row r="282" spans="1:36" ht="15">
      <c r="A282" s="280" t="s">
        <v>64</v>
      </c>
      <c r="B282" s="269" t="s">
        <v>237</v>
      </c>
      <c r="C282" s="225" t="s">
        <v>61</v>
      </c>
      <c r="D282" s="227" t="s">
        <v>218</v>
      </c>
      <c r="E282" s="178">
        <v>2015</v>
      </c>
      <c r="F282" s="7">
        <f t="shared" ref="F282:F287" si="27">SUM(G282:J282)</f>
        <v>471461.89999999997</v>
      </c>
      <c r="G282" s="7"/>
      <c r="H282" s="7">
        <f>457488.8+13973.1</f>
        <v>471461.89999999997</v>
      </c>
      <c r="I282" s="14"/>
      <c r="J282" s="14"/>
      <c r="K282" s="227" t="s">
        <v>266</v>
      </c>
    </row>
    <row r="283" spans="1:36" ht="15">
      <c r="A283" s="280"/>
      <c r="B283" s="270"/>
      <c r="C283" s="241"/>
      <c r="D283" s="235"/>
      <c r="E283" s="178">
        <v>2016</v>
      </c>
      <c r="F283" s="7">
        <f t="shared" si="27"/>
        <v>485636.2</v>
      </c>
      <c r="G283" s="7"/>
      <c r="H283" s="7">
        <f>503346-17709.8</f>
        <v>485636.2</v>
      </c>
      <c r="I283" s="14"/>
      <c r="J283" s="14"/>
      <c r="K283" s="235"/>
      <c r="L283" s="99"/>
    </row>
    <row r="284" spans="1:36" ht="15">
      <c r="A284" s="280"/>
      <c r="B284" s="270"/>
      <c r="C284" s="241"/>
      <c r="D284" s="235"/>
      <c r="E284" s="178">
        <v>2017</v>
      </c>
      <c r="F284" s="7">
        <f t="shared" si="27"/>
        <v>490057.5</v>
      </c>
      <c r="G284" s="7"/>
      <c r="H284" s="7">
        <f>478983.8+11073.7</f>
        <v>490057.5</v>
      </c>
      <c r="I284" s="14"/>
      <c r="J284" s="14"/>
      <c r="K284" s="235"/>
      <c r="L284" s="99"/>
      <c r="M284" s="106"/>
      <c r="N284" s="99" t="s">
        <v>359</v>
      </c>
      <c r="P284" s="99" t="s">
        <v>360</v>
      </c>
    </row>
    <row r="285" spans="1:36" ht="15">
      <c r="A285" s="280"/>
      <c r="B285" s="270"/>
      <c r="C285" s="241"/>
      <c r="D285" s="235"/>
      <c r="E285" s="178">
        <v>2018</v>
      </c>
      <c r="F285" s="7">
        <f t="shared" si="27"/>
        <v>543856.9</v>
      </c>
      <c r="G285" s="7"/>
      <c r="H285" s="7">
        <v>524988.5</v>
      </c>
      <c r="I285" s="7">
        <v>18868.400000000001</v>
      </c>
      <c r="J285" s="14"/>
      <c r="K285" s="235"/>
      <c r="L285" s="99"/>
      <c r="M285" s="106"/>
      <c r="N285" s="99" t="s">
        <v>256</v>
      </c>
    </row>
    <row r="286" spans="1:36" ht="15">
      <c r="A286" s="280"/>
      <c r="B286" s="270"/>
      <c r="C286" s="241"/>
      <c r="D286" s="235"/>
      <c r="E286" s="178">
        <v>2019</v>
      </c>
      <c r="F286" s="7">
        <f t="shared" si="27"/>
        <v>531740.69999999995</v>
      </c>
      <c r="G286" s="7"/>
      <c r="H286" s="7">
        <v>531740.69999999995</v>
      </c>
      <c r="I286" s="14"/>
      <c r="J286" s="14"/>
      <c r="K286" s="235"/>
      <c r="L286" s="99"/>
      <c r="M286" s="106"/>
      <c r="N286" s="99" t="s">
        <v>257</v>
      </c>
    </row>
    <row r="287" spans="1:36" ht="15">
      <c r="A287" s="280"/>
      <c r="B287" s="270"/>
      <c r="C287" s="241"/>
      <c r="D287" s="235"/>
      <c r="E287" s="178">
        <v>2020</v>
      </c>
      <c r="F287" s="7">
        <f t="shared" si="27"/>
        <v>531740.69999999995</v>
      </c>
      <c r="G287" s="7"/>
      <c r="H287" s="7">
        <v>531740.69999999995</v>
      </c>
      <c r="I287" s="14"/>
      <c r="J287" s="14"/>
      <c r="K287" s="235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</row>
    <row r="288" spans="1:36" ht="66" customHeight="1">
      <c r="A288" s="280"/>
      <c r="B288" s="271"/>
      <c r="C288" s="226"/>
      <c r="D288" s="235"/>
      <c r="E288" s="18" t="s">
        <v>18</v>
      </c>
      <c r="F288" s="8">
        <f>SUM(F282:F287)</f>
        <v>3054493.9000000004</v>
      </c>
      <c r="G288" s="8"/>
      <c r="H288" s="8">
        <f>SUM(H282:H287)</f>
        <v>3035625.5</v>
      </c>
      <c r="I288" s="8">
        <f>SUM(I282:I287)</f>
        <v>18868.400000000001</v>
      </c>
      <c r="J288" s="13"/>
      <c r="K288" s="2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</row>
    <row r="289" spans="1:32" ht="15">
      <c r="A289" s="280" t="s">
        <v>292</v>
      </c>
      <c r="B289" s="269" t="s">
        <v>267</v>
      </c>
      <c r="C289" s="225" t="s">
        <v>61</v>
      </c>
      <c r="D289" s="227" t="s">
        <v>218</v>
      </c>
      <c r="E289" s="178">
        <v>2017</v>
      </c>
      <c r="F289" s="7">
        <f t="shared" ref="F289:F292" si="28">SUM(G289:J289)</f>
        <v>2812.9</v>
      </c>
      <c r="G289" s="7"/>
      <c r="H289" s="7">
        <f>3265.6-452.7</f>
        <v>2812.9</v>
      </c>
      <c r="I289" s="14"/>
      <c r="J289" s="14"/>
      <c r="K289" s="227" t="s">
        <v>275</v>
      </c>
      <c r="L289" s="99"/>
    </row>
    <row r="290" spans="1:32" ht="15">
      <c r="A290" s="280"/>
      <c r="B290" s="270"/>
      <c r="C290" s="241"/>
      <c r="D290" s="235"/>
      <c r="E290" s="178">
        <v>2018</v>
      </c>
      <c r="F290" s="7">
        <f t="shared" si="28"/>
        <v>3504</v>
      </c>
      <c r="G290" s="7"/>
      <c r="H290" s="7">
        <v>3504</v>
      </c>
      <c r="I290" s="14"/>
      <c r="J290" s="14"/>
      <c r="K290" s="235"/>
      <c r="L290" s="99"/>
    </row>
    <row r="291" spans="1:32" ht="15">
      <c r="A291" s="280"/>
      <c r="B291" s="270"/>
      <c r="C291" s="241"/>
      <c r="D291" s="235"/>
      <c r="E291" s="178">
        <v>2019</v>
      </c>
      <c r="F291" s="7">
        <f t="shared" si="28"/>
        <v>3552.6</v>
      </c>
      <c r="G291" s="7"/>
      <c r="H291" s="7">
        <v>3552.6</v>
      </c>
      <c r="I291" s="14"/>
      <c r="J291" s="14"/>
      <c r="K291" s="235"/>
      <c r="L291" s="99"/>
      <c r="M291" s="106"/>
      <c r="N291" s="99" t="s">
        <v>255</v>
      </c>
    </row>
    <row r="292" spans="1:32" ht="15">
      <c r="A292" s="280"/>
      <c r="B292" s="270"/>
      <c r="C292" s="241"/>
      <c r="D292" s="235"/>
      <c r="E292" s="178">
        <v>2020</v>
      </c>
      <c r="F292" s="7">
        <f t="shared" si="28"/>
        <v>3552.6</v>
      </c>
      <c r="G292" s="7"/>
      <c r="H292" s="7">
        <v>3552.6</v>
      </c>
      <c r="I292" s="14"/>
      <c r="J292" s="14"/>
      <c r="K292" s="235"/>
      <c r="L292" s="99"/>
      <c r="M292" s="106"/>
      <c r="N292" s="99" t="s">
        <v>256</v>
      </c>
    </row>
    <row r="293" spans="1:32" ht="86.25" customHeight="1">
      <c r="A293" s="280"/>
      <c r="B293" s="271"/>
      <c r="C293" s="226"/>
      <c r="D293" s="235"/>
      <c r="E293" s="18" t="s">
        <v>18</v>
      </c>
      <c r="F293" s="8">
        <f>SUM(F289:F292)</f>
        <v>13422.1</v>
      </c>
      <c r="G293" s="8"/>
      <c r="H293" s="8">
        <f>SUM(H289:H292)</f>
        <v>13422.1</v>
      </c>
      <c r="I293" s="13"/>
      <c r="J293" s="13"/>
      <c r="K293" s="2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</row>
    <row r="294" spans="1:32">
      <c r="A294" s="373" t="s">
        <v>65</v>
      </c>
      <c r="B294" s="364"/>
      <c r="C294" s="364"/>
      <c r="D294" s="364"/>
      <c r="E294" s="364"/>
      <c r="F294" s="364"/>
      <c r="G294" s="364"/>
      <c r="H294" s="364"/>
      <c r="I294" s="364"/>
      <c r="J294" s="364"/>
      <c r="K294" s="364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  <c r="AC294" s="48"/>
      <c r="AD294" s="48"/>
      <c r="AE294" s="48"/>
      <c r="AF294" s="48"/>
    </row>
    <row r="295" spans="1:32" ht="15">
      <c r="A295" s="272" t="s">
        <v>293</v>
      </c>
      <c r="B295" s="275" t="s">
        <v>215</v>
      </c>
      <c r="C295" s="225" t="s">
        <v>61</v>
      </c>
      <c r="D295" s="227" t="s">
        <v>218</v>
      </c>
      <c r="E295" s="174">
        <v>2015</v>
      </c>
      <c r="F295" s="144">
        <f t="shared" ref="F295:F300" si="29">SUM(H295:I295)</f>
        <v>23806.500000000004</v>
      </c>
      <c r="G295" s="144"/>
      <c r="H295" s="144">
        <f>25365.4-1504.8-54.1</f>
        <v>23806.500000000004</v>
      </c>
      <c r="I295" s="12"/>
      <c r="J295" s="12"/>
      <c r="K295" s="227" t="s">
        <v>148</v>
      </c>
    </row>
    <row r="296" spans="1:32" ht="15">
      <c r="A296" s="273"/>
      <c r="B296" s="276"/>
      <c r="C296" s="241"/>
      <c r="D296" s="235"/>
      <c r="E296" s="178">
        <v>2016</v>
      </c>
      <c r="F296" s="7">
        <f t="shared" si="29"/>
        <v>12245.599999999999</v>
      </c>
      <c r="G296" s="7"/>
      <c r="H296" s="7">
        <f>12116.8-44.2+173</f>
        <v>12245.599999999999</v>
      </c>
      <c r="I296" s="14"/>
      <c r="J296" s="14"/>
      <c r="K296" s="235"/>
    </row>
    <row r="297" spans="1:32" ht="15">
      <c r="A297" s="273"/>
      <c r="B297" s="276"/>
      <c r="C297" s="241"/>
      <c r="D297" s="235"/>
      <c r="E297" s="178">
        <v>2017</v>
      </c>
      <c r="F297" s="7">
        <f t="shared" si="29"/>
        <v>12314.3</v>
      </c>
      <c r="G297" s="7"/>
      <c r="H297" s="7">
        <f>12346-31.7</f>
        <v>12314.3</v>
      </c>
      <c r="I297" s="14"/>
      <c r="J297" s="14"/>
      <c r="K297" s="235"/>
      <c r="L297" s="99"/>
      <c r="N297" s="99" t="s">
        <v>258</v>
      </c>
    </row>
    <row r="298" spans="1:32" ht="15">
      <c r="A298" s="273"/>
      <c r="B298" s="276"/>
      <c r="C298" s="241"/>
      <c r="D298" s="235"/>
      <c r="E298" s="178">
        <v>2018</v>
      </c>
      <c r="F298" s="7">
        <f t="shared" si="29"/>
        <v>12692.3</v>
      </c>
      <c r="G298" s="7"/>
      <c r="H298" s="7">
        <v>12692.3</v>
      </c>
      <c r="I298" s="14"/>
      <c r="J298" s="14"/>
      <c r="K298" s="235"/>
      <c r="N298" s="4" t="s">
        <v>250</v>
      </c>
    </row>
    <row r="299" spans="1:32" ht="15">
      <c r="A299" s="273"/>
      <c r="B299" s="276"/>
      <c r="C299" s="241"/>
      <c r="D299" s="235"/>
      <c r="E299" s="178">
        <v>2019</v>
      </c>
      <c r="F299" s="7">
        <f t="shared" si="29"/>
        <v>13273.6</v>
      </c>
      <c r="G299" s="7"/>
      <c r="H299" s="7">
        <v>13273.6</v>
      </c>
      <c r="I299" s="14"/>
      <c r="J299" s="14"/>
      <c r="K299" s="235"/>
      <c r="N299" s="4" t="s">
        <v>250</v>
      </c>
    </row>
    <row r="300" spans="1:32" ht="15">
      <c r="A300" s="273"/>
      <c r="B300" s="276"/>
      <c r="C300" s="241"/>
      <c r="D300" s="235"/>
      <c r="E300" s="178">
        <v>2020</v>
      </c>
      <c r="F300" s="7">
        <f t="shared" si="29"/>
        <v>13273.6</v>
      </c>
      <c r="G300" s="7"/>
      <c r="H300" s="7">
        <v>13273.6</v>
      </c>
      <c r="I300" s="14"/>
      <c r="J300" s="14"/>
      <c r="K300" s="235"/>
    </row>
    <row r="301" spans="1:32" ht="15" thickBot="1">
      <c r="A301" s="274"/>
      <c r="B301" s="277"/>
      <c r="C301" s="226"/>
      <c r="D301" s="235"/>
      <c r="E301" s="18" t="s">
        <v>18</v>
      </c>
      <c r="F301" s="8">
        <f>SUM(F295:F300)</f>
        <v>87605.900000000023</v>
      </c>
      <c r="G301" s="8"/>
      <c r="H301" s="8">
        <f>SUM(H295:H300)</f>
        <v>87605.900000000023</v>
      </c>
      <c r="I301" s="13"/>
      <c r="J301" s="13"/>
      <c r="K301" s="228"/>
    </row>
    <row r="302" spans="1:32" ht="15">
      <c r="A302" s="272" t="s">
        <v>72</v>
      </c>
      <c r="B302" s="275" t="s">
        <v>268</v>
      </c>
      <c r="C302" s="225" t="s">
        <v>61</v>
      </c>
      <c r="D302" s="227" t="s">
        <v>218</v>
      </c>
      <c r="E302" s="174">
        <v>2017</v>
      </c>
      <c r="F302" s="144">
        <f t="shared" ref="F302:F305" si="30">SUM(H302:I302)</f>
        <v>102.2</v>
      </c>
      <c r="G302" s="144"/>
      <c r="H302" s="144">
        <v>102.2</v>
      </c>
      <c r="I302" s="12"/>
      <c r="J302" s="12"/>
      <c r="K302" s="227" t="s">
        <v>148</v>
      </c>
      <c r="L302" s="99"/>
    </row>
    <row r="303" spans="1:32" ht="15">
      <c r="A303" s="273"/>
      <c r="B303" s="276"/>
      <c r="C303" s="241"/>
      <c r="D303" s="235"/>
      <c r="E303" s="178">
        <v>2018</v>
      </c>
      <c r="F303" s="7">
        <f t="shared" si="30"/>
        <v>129.5</v>
      </c>
      <c r="G303" s="7"/>
      <c r="H303" s="7">
        <v>129.5</v>
      </c>
      <c r="I303" s="14"/>
      <c r="J303" s="14"/>
      <c r="K303" s="235"/>
    </row>
    <row r="304" spans="1:32" ht="15">
      <c r="A304" s="273"/>
      <c r="B304" s="276"/>
      <c r="C304" s="241"/>
      <c r="D304" s="235"/>
      <c r="E304" s="178">
        <v>2019</v>
      </c>
      <c r="F304" s="7">
        <f t="shared" si="30"/>
        <v>129.5</v>
      </c>
      <c r="G304" s="7"/>
      <c r="H304" s="7">
        <v>129.5</v>
      </c>
      <c r="I304" s="14"/>
      <c r="J304" s="14"/>
      <c r="K304" s="235"/>
      <c r="L304" s="99"/>
      <c r="N304" s="99" t="s">
        <v>258</v>
      </c>
    </row>
    <row r="305" spans="1:32" ht="15">
      <c r="A305" s="273"/>
      <c r="B305" s="276"/>
      <c r="C305" s="241"/>
      <c r="D305" s="235"/>
      <c r="E305" s="178">
        <v>2020</v>
      </c>
      <c r="F305" s="7">
        <f t="shared" si="30"/>
        <v>129.5</v>
      </c>
      <c r="G305" s="7"/>
      <c r="H305" s="7">
        <v>129.5</v>
      </c>
      <c r="I305" s="14"/>
      <c r="J305" s="14"/>
      <c r="K305" s="235"/>
      <c r="N305" s="4" t="s">
        <v>250</v>
      </c>
    </row>
    <row r="306" spans="1:32" ht="48" customHeight="1" thickBot="1">
      <c r="A306" s="274"/>
      <c r="B306" s="277"/>
      <c r="C306" s="226"/>
      <c r="D306" s="235"/>
      <c r="E306" s="18" t="s">
        <v>18</v>
      </c>
      <c r="F306" s="8">
        <f>SUM(F302:F305)</f>
        <v>490.7</v>
      </c>
      <c r="G306" s="8"/>
      <c r="H306" s="8">
        <f>SUM(H302:H305)</f>
        <v>490.7</v>
      </c>
      <c r="I306" s="13"/>
      <c r="J306" s="13"/>
      <c r="K306" s="228"/>
    </row>
    <row r="307" spans="1:32">
      <c r="A307" s="273" t="s">
        <v>124</v>
      </c>
      <c r="B307" s="278" t="s">
        <v>149</v>
      </c>
      <c r="C307" s="225" t="s">
        <v>61</v>
      </c>
      <c r="D307" s="227" t="s">
        <v>218</v>
      </c>
      <c r="E307" s="178">
        <v>2015</v>
      </c>
      <c r="F307" s="14"/>
      <c r="G307" s="14"/>
      <c r="H307" s="14"/>
      <c r="I307" s="14"/>
      <c r="J307" s="14"/>
      <c r="K307" s="227" t="s">
        <v>150</v>
      </c>
    </row>
    <row r="308" spans="1:32">
      <c r="A308" s="273"/>
      <c r="B308" s="276"/>
      <c r="C308" s="241"/>
      <c r="D308" s="235"/>
      <c r="E308" s="178">
        <v>2016</v>
      </c>
      <c r="F308" s="14"/>
      <c r="G308" s="14"/>
      <c r="H308" s="14"/>
      <c r="I308" s="14"/>
      <c r="J308" s="14"/>
      <c r="K308" s="235"/>
    </row>
    <row r="309" spans="1:32">
      <c r="A309" s="273"/>
      <c r="B309" s="276"/>
      <c r="C309" s="241"/>
      <c r="D309" s="235"/>
      <c r="E309" s="178">
        <v>2017</v>
      </c>
      <c r="F309" s="14"/>
      <c r="G309" s="14"/>
      <c r="H309" s="14"/>
      <c r="I309" s="14"/>
      <c r="J309" s="14"/>
      <c r="K309" s="235"/>
    </row>
    <row r="310" spans="1:32">
      <c r="A310" s="273"/>
      <c r="B310" s="276"/>
      <c r="C310" s="241"/>
      <c r="D310" s="235"/>
      <c r="E310" s="178">
        <v>2018</v>
      </c>
      <c r="F310" s="14"/>
      <c r="G310" s="14"/>
      <c r="H310" s="14"/>
      <c r="I310" s="14"/>
      <c r="J310" s="14"/>
      <c r="K310" s="235"/>
    </row>
    <row r="311" spans="1:32">
      <c r="A311" s="273"/>
      <c r="B311" s="276"/>
      <c r="C311" s="241"/>
      <c r="D311" s="235"/>
      <c r="E311" s="178">
        <v>2019</v>
      </c>
      <c r="F311" s="14"/>
      <c r="G311" s="14"/>
      <c r="H311" s="14"/>
      <c r="I311" s="14"/>
      <c r="J311" s="14"/>
      <c r="K311" s="235"/>
    </row>
    <row r="312" spans="1:32">
      <c r="A312" s="273"/>
      <c r="B312" s="276"/>
      <c r="C312" s="241"/>
      <c r="D312" s="235"/>
      <c r="E312" s="178">
        <v>2020</v>
      </c>
      <c r="F312" s="14"/>
      <c r="G312" s="14"/>
      <c r="H312" s="14"/>
      <c r="I312" s="14"/>
      <c r="J312" s="14"/>
      <c r="K312" s="235"/>
    </row>
    <row r="313" spans="1:32" ht="13.5" thickBot="1">
      <c r="A313" s="274"/>
      <c r="B313" s="276"/>
      <c r="C313" s="241"/>
      <c r="D313" s="235"/>
      <c r="E313" s="26" t="s">
        <v>18</v>
      </c>
      <c r="F313" s="22"/>
      <c r="G313" s="22"/>
      <c r="H313" s="22"/>
      <c r="I313" s="22"/>
      <c r="J313" s="22"/>
      <c r="K313" s="235"/>
    </row>
    <row r="314" spans="1:32" ht="15.75" thickBot="1">
      <c r="A314" s="285" t="s">
        <v>207</v>
      </c>
      <c r="B314" s="286"/>
      <c r="C314" s="286"/>
      <c r="D314" s="286"/>
      <c r="E314" s="96"/>
      <c r="F314" s="149">
        <f>F288+F301+F306+F293</f>
        <v>3156012.6000000006</v>
      </c>
      <c r="G314" s="149"/>
      <c r="H314" s="149">
        <f>H288+H301+H306+H293+H313</f>
        <v>3137144.2</v>
      </c>
      <c r="I314" s="150">
        <f>I288+I301+I306+I293+I313</f>
        <v>18868.400000000001</v>
      </c>
      <c r="J314" s="97"/>
      <c r="K314" s="98"/>
      <c r="L314" s="126"/>
      <c r="M314" s="127"/>
    </row>
    <row r="315" spans="1:32" ht="16.5" customHeight="1" thickBot="1">
      <c r="A315" s="320" t="s">
        <v>189</v>
      </c>
      <c r="B315" s="321"/>
      <c r="C315" s="321"/>
      <c r="D315" s="321"/>
      <c r="E315" s="321"/>
      <c r="F315" s="321"/>
      <c r="G315" s="321"/>
      <c r="H315" s="321"/>
      <c r="I315" s="321"/>
      <c r="J315" s="321"/>
      <c r="K315" s="321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  <c r="W315" s="87"/>
      <c r="X315" s="87"/>
      <c r="Y315" s="87"/>
      <c r="Z315" s="87"/>
      <c r="AA315" s="87"/>
      <c r="AB315" s="87"/>
      <c r="AC315" s="87"/>
      <c r="AD315" s="87"/>
      <c r="AE315" s="87"/>
      <c r="AF315" s="88"/>
    </row>
    <row r="316" spans="1:32" ht="135" customHeight="1" thickBot="1">
      <c r="A316" s="287" t="s">
        <v>66</v>
      </c>
      <c r="B316" s="288"/>
      <c r="C316" s="288"/>
      <c r="D316" s="288"/>
      <c r="E316" s="288"/>
      <c r="F316" s="288"/>
      <c r="G316" s="288"/>
      <c r="H316" s="288"/>
      <c r="I316" s="288"/>
      <c r="J316" s="288"/>
      <c r="K316" s="289"/>
    </row>
    <row r="317" spans="1:32" ht="15">
      <c r="A317" s="273" t="s">
        <v>93</v>
      </c>
      <c r="B317" s="278" t="s">
        <v>238</v>
      </c>
      <c r="C317" s="225" t="s">
        <v>61</v>
      </c>
      <c r="D317" s="227" t="s">
        <v>218</v>
      </c>
      <c r="E317" s="178">
        <v>2015</v>
      </c>
      <c r="F317" s="7">
        <f t="shared" ref="F317:F322" si="31">SUM(G317:H317)</f>
        <v>29177</v>
      </c>
      <c r="G317" s="7"/>
      <c r="H317" s="7">
        <f>25777+3400</f>
        <v>29177</v>
      </c>
      <c r="I317" s="14"/>
      <c r="J317" s="14"/>
      <c r="K317" s="227" t="s">
        <v>151</v>
      </c>
    </row>
    <row r="318" spans="1:32" ht="15">
      <c r="A318" s="273"/>
      <c r="B318" s="279"/>
      <c r="C318" s="241"/>
      <c r="D318" s="235"/>
      <c r="E318" s="178">
        <v>2016</v>
      </c>
      <c r="F318" s="7">
        <f t="shared" si="31"/>
        <v>31021</v>
      </c>
      <c r="G318" s="7"/>
      <c r="H318" s="7">
        <f>32323-1302</f>
        <v>31021</v>
      </c>
      <c r="I318" s="14"/>
      <c r="J318" s="14"/>
      <c r="K318" s="235"/>
      <c r="L318" s="99"/>
    </row>
    <row r="319" spans="1:32" ht="15">
      <c r="A319" s="273"/>
      <c r="B319" s="279"/>
      <c r="C319" s="241"/>
      <c r="D319" s="235"/>
      <c r="E319" s="178">
        <v>2017</v>
      </c>
      <c r="F319" s="7">
        <f t="shared" si="31"/>
        <v>29945.1</v>
      </c>
      <c r="G319" s="7"/>
      <c r="H319" s="7">
        <f>31493.1-1548</f>
        <v>29945.1</v>
      </c>
      <c r="I319" s="14"/>
      <c r="J319" s="14"/>
      <c r="K319" s="235"/>
      <c r="L319" s="99"/>
    </row>
    <row r="320" spans="1:32" ht="15">
      <c r="A320" s="273"/>
      <c r="B320" s="279"/>
      <c r="C320" s="241"/>
      <c r="D320" s="235"/>
      <c r="E320" s="178">
        <v>2018</v>
      </c>
      <c r="F320" s="7">
        <f t="shared" si="31"/>
        <v>33846.699999999997</v>
      </c>
      <c r="G320" s="7"/>
      <c r="H320" s="7">
        <v>33846.699999999997</v>
      </c>
      <c r="I320" s="14"/>
      <c r="J320" s="14"/>
      <c r="K320" s="235"/>
      <c r="L320" s="99" t="s">
        <v>372</v>
      </c>
      <c r="M320" s="99" t="s">
        <v>373</v>
      </c>
      <c r="N320" s="106"/>
    </row>
    <row r="321" spans="1:14" ht="15">
      <c r="A321" s="273"/>
      <c r="B321" s="279"/>
      <c r="C321" s="241"/>
      <c r="D321" s="235"/>
      <c r="E321" s="178">
        <v>2019</v>
      </c>
      <c r="F321" s="7">
        <f t="shared" si="31"/>
        <v>34351.800000000003</v>
      </c>
      <c r="G321" s="7"/>
      <c r="H321" s="7">
        <v>34351.800000000003</v>
      </c>
      <c r="I321" s="14"/>
      <c r="J321" s="14"/>
      <c r="K321" s="235"/>
      <c r="N321" s="106"/>
    </row>
    <row r="322" spans="1:14" ht="15">
      <c r="A322" s="273"/>
      <c r="B322" s="279"/>
      <c r="C322" s="241"/>
      <c r="D322" s="235"/>
      <c r="E322" s="178">
        <v>2020</v>
      </c>
      <c r="F322" s="7">
        <f t="shared" si="31"/>
        <v>34351.800000000003</v>
      </c>
      <c r="G322" s="7"/>
      <c r="H322" s="7">
        <v>34351.800000000003</v>
      </c>
      <c r="I322" s="14"/>
      <c r="J322" s="14"/>
      <c r="K322" s="235"/>
      <c r="N322" s="28"/>
    </row>
    <row r="323" spans="1:14" ht="42.75" customHeight="1">
      <c r="A323" s="274"/>
      <c r="B323" s="279"/>
      <c r="C323" s="226"/>
      <c r="D323" s="235"/>
      <c r="E323" s="18" t="s">
        <v>18</v>
      </c>
      <c r="F323" s="8">
        <f>SUM(F317:F322)</f>
        <v>192693.40000000002</v>
      </c>
      <c r="G323" s="8"/>
      <c r="H323" s="8">
        <f>SUM(H317:H322)</f>
        <v>192693.40000000002</v>
      </c>
      <c r="I323" s="13"/>
      <c r="J323" s="13"/>
      <c r="K323" s="228"/>
    </row>
    <row r="324" spans="1:14" ht="15">
      <c r="A324" s="280" t="s">
        <v>67</v>
      </c>
      <c r="B324" s="282" t="s">
        <v>132</v>
      </c>
      <c r="C324" s="225" t="s">
        <v>68</v>
      </c>
      <c r="D324" s="227" t="s">
        <v>218</v>
      </c>
      <c r="E324" s="178">
        <v>2015</v>
      </c>
      <c r="F324" s="7">
        <f t="shared" ref="F324:F329" si="32">SUM(G324:I324)</f>
        <v>470.20000000000005</v>
      </c>
      <c r="G324" s="7"/>
      <c r="H324" s="7">
        <f>416.1+54.1</f>
        <v>470.20000000000005</v>
      </c>
      <c r="I324" s="7"/>
      <c r="J324" s="14"/>
      <c r="K324" s="315" t="s">
        <v>151</v>
      </c>
    </row>
    <row r="325" spans="1:14" ht="15">
      <c r="A325" s="280"/>
      <c r="B325" s="283"/>
      <c r="C325" s="229"/>
      <c r="D325" s="235"/>
      <c r="E325" s="178">
        <v>2016</v>
      </c>
      <c r="F325" s="7">
        <f t="shared" si="32"/>
        <v>305.39999999999998</v>
      </c>
      <c r="G325" s="7"/>
      <c r="H325" s="7">
        <f>261.2+44.2</f>
        <v>305.39999999999998</v>
      </c>
      <c r="I325" s="7"/>
      <c r="J325" s="14"/>
      <c r="K325" s="316"/>
    </row>
    <row r="326" spans="1:14" ht="15">
      <c r="A326" s="280"/>
      <c r="B326" s="283"/>
      <c r="C326" s="229"/>
      <c r="D326" s="235"/>
      <c r="E326" s="178">
        <v>2017</v>
      </c>
      <c r="F326" s="7">
        <f t="shared" si="32"/>
        <v>454</v>
      </c>
      <c r="G326" s="7"/>
      <c r="H326" s="7">
        <v>454</v>
      </c>
      <c r="I326" s="7"/>
      <c r="J326" s="14"/>
      <c r="K326" s="316"/>
      <c r="L326" s="99"/>
      <c r="M326" s="107"/>
    </row>
    <row r="327" spans="1:14" ht="15">
      <c r="A327" s="280"/>
      <c r="B327" s="283"/>
      <c r="C327" s="229"/>
      <c r="D327" s="235"/>
      <c r="E327" s="178">
        <v>2018</v>
      </c>
      <c r="F327" s="7">
        <f t="shared" si="32"/>
        <v>494</v>
      </c>
      <c r="G327" s="7"/>
      <c r="H327" s="7">
        <v>494</v>
      </c>
      <c r="I327" s="7"/>
      <c r="J327" s="14"/>
      <c r="K327" s="316"/>
      <c r="N327" s="106"/>
    </row>
    <row r="328" spans="1:14" ht="15">
      <c r="A328" s="280"/>
      <c r="B328" s="283"/>
      <c r="C328" s="229"/>
      <c r="D328" s="235"/>
      <c r="E328" s="178">
        <v>2019</v>
      </c>
      <c r="F328" s="7">
        <f t="shared" ref="F328" si="33">SUM(G328:I328)</f>
        <v>494</v>
      </c>
      <c r="G328" s="7"/>
      <c r="H328" s="7">
        <v>494</v>
      </c>
      <c r="I328" s="7"/>
      <c r="J328" s="14"/>
      <c r="K328" s="316"/>
      <c r="N328" s="106"/>
    </row>
    <row r="329" spans="1:14" ht="15">
      <c r="A329" s="280"/>
      <c r="B329" s="283"/>
      <c r="C329" s="229"/>
      <c r="D329" s="235"/>
      <c r="E329" s="178">
        <v>2020</v>
      </c>
      <c r="F329" s="7">
        <f t="shared" si="32"/>
        <v>494</v>
      </c>
      <c r="G329" s="7"/>
      <c r="H329" s="7">
        <v>494</v>
      </c>
      <c r="I329" s="7"/>
      <c r="J329" s="14"/>
      <c r="K329" s="316"/>
    </row>
    <row r="330" spans="1:14" ht="15">
      <c r="A330" s="280"/>
      <c r="B330" s="284"/>
      <c r="C330" s="230"/>
      <c r="D330" s="235"/>
      <c r="E330" s="18" t="s">
        <v>18</v>
      </c>
      <c r="F330" s="8">
        <f>SUM(F324:F329)</f>
        <v>2711.6</v>
      </c>
      <c r="G330" s="8"/>
      <c r="H330" s="8">
        <f>SUM(H324:H329)</f>
        <v>2711.6</v>
      </c>
      <c r="I330" s="7"/>
      <c r="J330" s="14"/>
      <c r="K330" s="317"/>
    </row>
    <row r="331" spans="1:14" ht="15">
      <c r="A331" s="280" t="s">
        <v>294</v>
      </c>
      <c r="B331" s="282" t="s">
        <v>130</v>
      </c>
      <c r="C331" s="225" t="s">
        <v>68</v>
      </c>
      <c r="D331" s="227" t="s">
        <v>218</v>
      </c>
      <c r="E331" s="178">
        <v>2015</v>
      </c>
      <c r="F331" s="7">
        <f t="shared" ref="F331:F336" si="34">SUM(G331:J331)</f>
        <v>5042</v>
      </c>
      <c r="G331" s="7"/>
      <c r="H331" s="7">
        <v>4991.6000000000004</v>
      </c>
      <c r="I331" s="7">
        <v>50.4</v>
      </c>
      <c r="J331" s="14"/>
      <c r="K331" s="227" t="s">
        <v>151</v>
      </c>
    </row>
    <row r="332" spans="1:14" ht="15">
      <c r="A332" s="280"/>
      <c r="B332" s="283"/>
      <c r="C332" s="229"/>
      <c r="D332" s="235"/>
      <c r="E332" s="178">
        <v>2016</v>
      </c>
      <c r="F332" s="7">
        <f t="shared" si="34"/>
        <v>0</v>
      </c>
      <c r="G332" s="7"/>
      <c r="H332" s="7"/>
      <c r="I332" s="7"/>
      <c r="J332" s="14"/>
      <c r="K332" s="235"/>
    </row>
    <row r="333" spans="1:14" ht="15">
      <c r="A333" s="280"/>
      <c r="B333" s="283"/>
      <c r="C333" s="229"/>
      <c r="D333" s="235"/>
      <c r="E333" s="178">
        <v>2017</v>
      </c>
      <c r="F333" s="7">
        <f t="shared" si="34"/>
        <v>0</v>
      </c>
      <c r="G333" s="7"/>
      <c r="H333" s="7"/>
      <c r="I333" s="7"/>
      <c r="J333" s="14"/>
      <c r="K333" s="235"/>
      <c r="L333" s="99"/>
    </row>
    <row r="334" spans="1:14" ht="15">
      <c r="A334" s="280"/>
      <c r="B334" s="283"/>
      <c r="C334" s="229"/>
      <c r="D334" s="235"/>
      <c r="E334" s="178">
        <v>2018</v>
      </c>
      <c r="F334" s="7">
        <f t="shared" si="34"/>
        <v>0</v>
      </c>
      <c r="G334" s="7"/>
      <c r="H334" s="7"/>
      <c r="I334" s="7"/>
      <c r="J334" s="14"/>
      <c r="K334" s="235"/>
      <c r="L334" s="99"/>
    </row>
    <row r="335" spans="1:14" ht="15">
      <c r="A335" s="280"/>
      <c r="B335" s="283"/>
      <c r="C335" s="229"/>
      <c r="D335" s="235"/>
      <c r="E335" s="178">
        <v>2019</v>
      </c>
      <c r="F335" s="7">
        <f t="shared" si="34"/>
        <v>0</v>
      </c>
      <c r="G335" s="7"/>
      <c r="H335" s="7"/>
      <c r="I335" s="7"/>
      <c r="J335" s="14"/>
      <c r="K335" s="235"/>
    </row>
    <row r="336" spans="1:14" ht="15">
      <c r="A336" s="280"/>
      <c r="B336" s="283"/>
      <c r="C336" s="229"/>
      <c r="D336" s="235"/>
      <c r="E336" s="178">
        <v>2020</v>
      </c>
      <c r="F336" s="7">
        <f t="shared" si="34"/>
        <v>0</v>
      </c>
      <c r="G336" s="7"/>
      <c r="H336" s="7"/>
      <c r="I336" s="7"/>
      <c r="J336" s="14"/>
      <c r="K336" s="235"/>
    </row>
    <row r="337" spans="1:22" ht="45" customHeight="1">
      <c r="A337" s="280"/>
      <c r="B337" s="283"/>
      <c r="C337" s="230"/>
      <c r="D337" s="235"/>
      <c r="E337" s="18" t="s">
        <v>18</v>
      </c>
      <c r="F337" s="9">
        <f>SUM(F331:F336)</f>
        <v>5042</v>
      </c>
      <c r="G337" s="9"/>
      <c r="H337" s="9">
        <f>SUM(H331:H336)</f>
        <v>4991.6000000000004</v>
      </c>
      <c r="I337" s="9">
        <f>SUM(I331:I336)</f>
        <v>50.4</v>
      </c>
      <c r="J337" s="44"/>
      <c r="K337" s="228"/>
    </row>
    <row r="338" spans="1:22" ht="12.75" customHeight="1">
      <c r="A338" s="272" t="s">
        <v>133</v>
      </c>
      <c r="B338" s="231" t="s">
        <v>316</v>
      </c>
      <c r="C338" s="225" t="s">
        <v>68</v>
      </c>
      <c r="D338" s="227" t="s">
        <v>218</v>
      </c>
      <c r="E338" s="178">
        <v>2015</v>
      </c>
      <c r="F338" s="7">
        <f t="shared" ref="F338:F343" si="35">SUM(G338:J338)</f>
        <v>0</v>
      </c>
      <c r="G338" s="7"/>
      <c r="H338" s="7"/>
      <c r="I338" s="7">
        <v>0</v>
      </c>
      <c r="J338" s="14"/>
      <c r="K338" s="227" t="s">
        <v>152</v>
      </c>
    </row>
    <row r="339" spans="1:22" ht="12.75" customHeight="1">
      <c r="A339" s="273"/>
      <c r="B339" s="232"/>
      <c r="C339" s="229"/>
      <c r="D339" s="235"/>
      <c r="E339" s="178">
        <v>2016</v>
      </c>
      <c r="F339" s="7">
        <f t="shared" si="35"/>
        <v>2152.1</v>
      </c>
      <c r="G339" s="7"/>
      <c r="H339" s="7"/>
      <c r="I339" s="7">
        <f>2194.1-42</f>
        <v>2152.1</v>
      </c>
      <c r="J339" s="14"/>
      <c r="K339" s="235"/>
      <c r="L339" s="99"/>
    </row>
    <row r="340" spans="1:22" ht="12.75" customHeight="1">
      <c r="A340" s="273"/>
      <c r="B340" s="232"/>
      <c r="C340" s="229"/>
      <c r="D340" s="235"/>
      <c r="E340" s="178">
        <v>2017</v>
      </c>
      <c r="F340" s="7">
        <f t="shared" si="35"/>
        <v>6504.1</v>
      </c>
      <c r="G340" s="7"/>
      <c r="H340" s="7"/>
      <c r="I340" s="7">
        <f>1996.4+4505.7+2</f>
        <v>6504.1</v>
      </c>
      <c r="J340" s="14"/>
      <c r="K340" s="235"/>
      <c r="L340" s="99" t="s">
        <v>375</v>
      </c>
      <c r="M340" s="125" t="s">
        <v>356</v>
      </c>
      <c r="N340" s="109"/>
      <c r="O340" s="121">
        <v>2589.1999999999998</v>
      </c>
      <c r="P340" s="109"/>
      <c r="Q340" s="121" t="s">
        <v>357</v>
      </c>
      <c r="R340" s="109"/>
      <c r="S340" s="109"/>
      <c r="T340" s="112">
        <v>1596.5</v>
      </c>
      <c r="U340" s="121" t="s">
        <v>358</v>
      </c>
      <c r="V340" s="112"/>
    </row>
    <row r="341" spans="1:22" ht="12.75" customHeight="1">
      <c r="A341" s="273"/>
      <c r="B341" s="232"/>
      <c r="C341" s="229"/>
      <c r="D341" s="235"/>
      <c r="E341" s="178">
        <v>2018</v>
      </c>
      <c r="F341" s="7">
        <f t="shared" si="35"/>
        <v>6972.3</v>
      </c>
      <c r="G341" s="7"/>
      <c r="H341" s="7"/>
      <c r="I341" s="7">
        <v>6972.3</v>
      </c>
      <c r="J341" s="14"/>
      <c r="K341" s="235"/>
      <c r="L341" s="99"/>
    </row>
    <row r="342" spans="1:22" ht="12.75" customHeight="1">
      <c r="A342" s="273"/>
      <c r="B342" s="232"/>
      <c r="C342" s="229"/>
      <c r="D342" s="235"/>
      <c r="E342" s="178">
        <v>2019</v>
      </c>
      <c r="F342" s="7">
        <f t="shared" si="35"/>
        <v>0</v>
      </c>
      <c r="G342" s="7"/>
      <c r="H342" s="7"/>
      <c r="I342" s="7">
        <v>0</v>
      </c>
      <c r="J342" s="14"/>
      <c r="K342" s="235"/>
    </row>
    <row r="343" spans="1:22" ht="12.75" customHeight="1">
      <c r="A343" s="273"/>
      <c r="B343" s="232"/>
      <c r="C343" s="229"/>
      <c r="D343" s="235"/>
      <c r="E343" s="178">
        <v>2020</v>
      </c>
      <c r="F343" s="7">
        <f t="shared" si="35"/>
        <v>0</v>
      </c>
      <c r="G343" s="7"/>
      <c r="H343" s="7"/>
      <c r="I343" s="7">
        <v>0</v>
      </c>
      <c r="J343" s="14"/>
      <c r="K343" s="235"/>
    </row>
    <row r="344" spans="1:22" ht="30.75" customHeight="1">
      <c r="A344" s="274"/>
      <c r="B344" s="240"/>
      <c r="C344" s="230"/>
      <c r="D344" s="235"/>
      <c r="E344" s="18" t="s">
        <v>18</v>
      </c>
      <c r="F344" s="9">
        <f>SUM(F338:F343)</f>
        <v>15628.5</v>
      </c>
      <c r="G344" s="9"/>
      <c r="H344" s="9">
        <f>SUM(H338:H343)</f>
        <v>0</v>
      </c>
      <c r="I344" s="9">
        <f>SUM(I338:I343)</f>
        <v>15628.5</v>
      </c>
      <c r="J344" s="44"/>
      <c r="K344" s="228"/>
    </row>
    <row r="345" spans="1:22" ht="13.5" customHeight="1">
      <c r="A345" s="280" t="s">
        <v>247</v>
      </c>
      <c r="B345" s="231" t="s">
        <v>248</v>
      </c>
      <c r="C345" s="233" t="s">
        <v>217</v>
      </c>
      <c r="D345" s="281" t="s">
        <v>218</v>
      </c>
      <c r="E345" s="178">
        <v>2016</v>
      </c>
      <c r="F345" s="7">
        <f>G345+H345+I345</f>
        <v>42</v>
      </c>
      <c r="G345" s="8"/>
      <c r="H345" s="8"/>
      <c r="I345" s="7">
        <v>42</v>
      </c>
      <c r="J345" s="14"/>
      <c r="K345" s="281" t="s">
        <v>140</v>
      </c>
      <c r="L345" s="99"/>
    </row>
    <row r="346" spans="1:22" ht="13.5" customHeight="1">
      <c r="A346" s="280"/>
      <c r="B346" s="231"/>
      <c r="C346" s="233"/>
      <c r="D346" s="281"/>
      <c r="E346" s="178">
        <v>2017</v>
      </c>
      <c r="F346" s="7">
        <f t="shared" ref="F346:F349" si="36">G346+H346+I346</f>
        <v>693.9</v>
      </c>
      <c r="G346" s="8"/>
      <c r="H346" s="8"/>
      <c r="I346" s="7">
        <v>693.9</v>
      </c>
      <c r="J346" s="14"/>
      <c r="K346" s="281"/>
      <c r="L346" s="99"/>
    </row>
    <row r="347" spans="1:22" ht="13.5" customHeight="1">
      <c r="A347" s="280"/>
      <c r="B347" s="231"/>
      <c r="C347" s="233"/>
      <c r="D347" s="281"/>
      <c r="E347" s="178">
        <v>2018</v>
      </c>
      <c r="F347" s="7">
        <f t="shared" si="36"/>
        <v>200</v>
      </c>
      <c r="G347" s="8"/>
      <c r="H347" s="8"/>
      <c r="I347" s="7">
        <v>200</v>
      </c>
      <c r="J347" s="14"/>
      <c r="K347" s="281"/>
      <c r="L347" s="99"/>
    </row>
    <row r="348" spans="1:22" ht="13.5" customHeight="1">
      <c r="A348" s="280"/>
      <c r="B348" s="231"/>
      <c r="C348" s="233"/>
      <c r="D348" s="281"/>
      <c r="E348" s="178">
        <v>2019</v>
      </c>
      <c r="F348" s="7">
        <f t="shared" si="36"/>
        <v>0</v>
      </c>
      <c r="G348" s="8"/>
      <c r="H348" s="8"/>
      <c r="I348" s="7">
        <v>0</v>
      </c>
      <c r="J348" s="14"/>
      <c r="K348" s="281"/>
      <c r="L348" s="99"/>
    </row>
    <row r="349" spans="1:22" ht="12.75" customHeight="1">
      <c r="A349" s="280"/>
      <c r="B349" s="231"/>
      <c r="C349" s="233"/>
      <c r="D349" s="281"/>
      <c r="E349" s="178">
        <v>2020</v>
      </c>
      <c r="F349" s="7">
        <f t="shared" si="36"/>
        <v>0</v>
      </c>
      <c r="G349" s="8"/>
      <c r="H349" s="8"/>
      <c r="I349" s="7">
        <v>0</v>
      </c>
      <c r="J349" s="14"/>
      <c r="K349" s="281"/>
    </row>
    <row r="350" spans="1:22" ht="18" customHeight="1">
      <c r="A350" s="280"/>
      <c r="B350" s="231"/>
      <c r="C350" s="233"/>
      <c r="D350" s="281"/>
      <c r="E350" s="18" t="s">
        <v>18</v>
      </c>
      <c r="F350" s="8">
        <f>SUM(F345:F349)</f>
        <v>935.9</v>
      </c>
      <c r="G350" s="8"/>
      <c r="H350" s="8">
        <v>0</v>
      </c>
      <c r="I350" s="8">
        <f>SUM(I345:I349)</f>
        <v>935.9</v>
      </c>
      <c r="J350" s="14"/>
      <c r="K350" s="281"/>
      <c r="P350" s="99"/>
    </row>
    <row r="351" spans="1:22" ht="13.5" customHeight="1">
      <c r="A351" s="263" t="s">
        <v>295</v>
      </c>
      <c r="B351" s="242" t="s">
        <v>271</v>
      </c>
      <c r="C351" s="225" t="s">
        <v>217</v>
      </c>
      <c r="D351" s="227" t="s">
        <v>218</v>
      </c>
      <c r="E351" s="178">
        <v>2017</v>
      </c>
      <c r="F351" s="10">
        <f>G351+H351+I351</f>
        <v>1046.7</v>
      </c>
      <c r="G351" s="9"/>
      <c r="H351" s="10">
        <f>1906.7-860</f>
        <v>1046.7</v>
      </c>
      <c r="I351" s="10"/>
      <c r="J351" s="22"/>
      <c r="K351" s="227" t="s">
        <v>273</v>
      </c>
      <c r="L351" s="99"/>
    </row>
    <row r="352" spans="1:22" ht="13.5" customHeight="1">
      <c r="A352" s="264"/>
      <c r="B352" s="243"/>
      <c r="C352" s="241"/>
      <c r="D352" s="235"/>
      <c r="E352" s="178">
        <v>2018</v>
      </c>
      <c r="F352" s="10">
        <f t="shared" ref="F352:F354" si="37">G352+H352+I352</f>
        <v>2127.6</v>
      </c>
      <c r="G352" s="9"/>
      <c r="H352" s="10">
        <v>2127.6</v>
      </c>
      <c r="I352" s="10"/>
      <c r="J352" s="22"/>
      <c r="K352" s="235"/>
      <c r="L352" s="99"/>
    </row>
    <row r="353" spans="1:32" ht="13.5" customHeight="1">
      <c r="A353" s="264"/>
      <c r="B353" s="243"/>
      <c r="C353" s="241"/>
      <c r="D353" s="235"/>
      <c r="E353" s="178">
        <v>2019</v>
      </c>
      <c r="F353" s="10">
        <f t="shared" si="37"/>
        <v>2145</v>
      </c>
      <c r="G353" s="9"/>
      <c r="H353" s="10">
        <v>2145</v>
      </c>
      <c r="I353" s="10"/>
      <c r="J353" s="22"/>
      <c r="K353" s="235"/>
      <c r="L353" s="99"/>
    </row>
    <row r="354" spans="1:32" ht="13.5" customHeight="1">
      <c r="A354" s="264"/>
      <c r="B354" s="243"/>
      <c r="C354" s="241"/>
      <c r="D354" s="235"/>
      <c r="E354" s="178">
        <v>2020</v>
      </c>
      <c r="F354" s="10">
        <f t="shared" si="37"/>
        <v>2160</v>
      </c>
      <c r="G354" s="9"/>
      <c r="H354" s="10">
        <v>2160</v>
      </c>
      <c r="I354" s="9"/>
      <c r="J354" s="22"/>
      <c r="K354" s="235"/>
      <c r="L354" s="99"/>
    </row>
    <row r="355" spans="1:32" ht="64.5" customHeight="1">
      <c r="A355" s="264"/>
      <c r="B355" s="244"/>
      <c r="C355" s="241"/>
      <c r="D355" s="235"/>
      <c r="E355" s="26" t="s">
        <v>18</v>
      </c>
      <c r="F355" s="9">
        <f>SUM(F351:F354)</f>
        <v>7479.3</v>
      </c>
      <c r="G355" s="9"/>
      <c r="H355" s="9">
        <f t="shared" ref="H355" si="38">SUM(H351:H354)</f>
        <v>7479.3</v>
      </c>
      <c r="I355" s="9">
        <f>SUM(I351:I354)</f>
        <v>0</v>
      </c>
      <c r="J355" s="22"/>
      <c r="K355" s="235"/>
    </row>
    <row r="356" spans="1:32" ht="13.5" customHeight="1">
      <c r="A356" s="263" t="s">
        <v>314</v>
      </c>
      <c r="B356" s="242" t="s">
        <v>312</v>
      </c>
      <c r="C356" s="225" t="s">
        <v>217</v>
      </c>
      <c r="D356" s="227" t="s">
        <v>218</v>
      </c>
      <c r="E356" s="178">
        <v>2017</v>
      </c>
      <c r="F356" s="10">
        <f>G356+H356+I356</f>
        <v>163</v>
      </c>
      <c r="G356" s="9"/>
      <c r="H356" s="10"/>
      <c r="I356" s="10">
        <v>163</v>
      </c>
      <c r="J356" s="22"/>
      <c r="K356" s="267" t="s">
        <v>398</v>
      </c>
      <c r="L356" s="99"/>
    </row>
    <row r="357" spans="1:32" ht="13.5" customHeight="1">
      <c r="A357" s="264"/>
      <c r="B357" s="243"/>
      <c r="C357" s="241"/>
      <c r="D357" s="235"/>
      <c r="E357" s="178">
        <v>2018</v>
      </c>
      <c r="F357" s="10">
        <f t="shared" ref="F357:F359" si="39">G357+H357+I357</f>
        <v>220</v>
      </c>
      <c r="G357" s="9"/>
      <c r="H357" s="9"/>
      <c r="I357" s="10">
        <v>220</v>
      </c>
      <c r="J357" s="22"/>
      <c r="K357" s="268"/>
      <c r="L357" s="99" t="s">
        <v>362</v>
      </c>
    </row>
    <row r="358" spans="1:32" ht="13.5" customHeight="1">
      <c r="A358" s="264"/>
      <c r="B358" s="243"/>
      <c r="C358" s="241"/>
      <c r="D358" s="235"/>
      <c r="E358" s="178">
        <v>2019</v>
      </c>
      <c r="F358" s="10">
        <f t="shared" si="39"/>
        <v>0</v>
      </c>
      <c r="G358" s="9"/>
      <c r="H358" s="9"/>
      <c r="I358" s="10">
        <v>0</v>
      </c>
      <c r="J358" s="22"/>
      <c r="K358" s="268"/>
      <c r="L358" s="99"/>
    </row>
    <row r="359" spans="1:32" ht="13.5" customHeight="1">
      <c r="A359" s="264"/>
      <c r="B359" s="243"/>
      <c r="C359" s="241"/>
      <c r="D359" s="235"/>
      <c r="E359" s="178">
        <v>2020</v>
      </c>
      <c r="F359" s="10">
        <f t="shared" si="39"/>
        <v>0</v>
      </c>
      <c r="G359" s="9"/>
      <c r="H359" s="9"/>
      <c r="I359" s="10">
        <v>0</v>
      </c>
      <c r="J359" s="22"/>
      <c r="K359" s="268"/>
      <c r="L359" s="99"/>
    </row>
    <row r="360" spans="1:32" ht="19.5" customHeight="1" thickBot="1">
      <c r="A360" s="264"/>
      <c r="B360" s="244"/>
      <c r="C360" s="241"/>
      <c r="D360" s="235"/>
      <c r="E360" s="26" t="s">
        <v>18</v>
      </c>
      <c r="F360" s="9">
        <f>SUM(F356:F359)</f>
        <v>383</v>
      </c>
      <c r="G360" s="9"/>
      <c r="H360" s="9">
        <f t="shared" ref="H360" si="40">SUM(H356:H359)</f>
        <v>0</v>
      </c>
      <c r="I360" s="9">
        <f>SUM(I356:I359)</f>
        <v>383</v>
      </c>
      <c r="J360" s="22"/>
      <c r="K360" s="268"/>
    </row>
    <row r="361" spans="1:32" ht="15.75" thickBot="1">
      <c r="A361" s="318" t="s">
        <v>185</v>
      </c>
      <c r="B361" s="319"/>
      <c r="C361" s="319"/>
      <c r="D361" s="319"/>
      <c r="E361" s="49"/>
      <c r="F361" s="151">
        <f>F337+F330+F323+F344+F350+F355+F360</f>
        <v>224873.7</v>
      </c>
      <c r="G361" s="149"/>
      <c r="H361" s="150">
        <f>H337+H330+H323+H344+H350+H355+H360</f>
        <v>207875.90000000002</v>
      </c>
      <c r="I361" s="150">
        <f>I337+I330+I323+I344+I350+I355+I360</f>
        <v>16997.8</v>
      </c>
      <c r="J361" s="102"/>
      <c r="K361" s="103"/>
      <c r="M361" s="126"/>
      <c r="N361" s="127"/>
    </row>
    <row r="362" spans="1:32" ht="16.5" thickBot="1">
      <c r="A362" s="245" t="s">
        <v>190</v>
      </c>
      <c r="B362" s="246"/>
      <c r="C362" s="246"/>
      <c r="D362" s="246"/>
      <c r="E362" s="246"/>
      <c r="F362" s="100"/>
      <c r="G362" s="100"/>
      <c r="H362" s="100"/>
      <c r="I362" s="101"/>
      <c r="J362" s="101"/>
      <c r="K362" s="101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  <c r="AC362" s="52"/>
      <c r="AD362" s="52"/>
      <c r="AE362" s="52"/>
      <c r="AF362" s="53"/>
    </row>
    <row r="363" spans="1:32" ht="15">
      <c r="A363" s="247" t="s">
        <v>296</v>
      </c>
      <c r="B363" s="249" t="s">
        <v>123</v>
      </c>
      <c r="C363" s="225" t="s">
        <v>68</v>
      </c>
      <c r="D363" s="227" t="s">
        <v>218</v>
      </c>
      <c r="E363" s="178">
        <v>2015</v>
      </c>
      <c r="F363" s="7">
        <f t="shared" ref="F363:F368" si="41">SUM(G363:I363)</f>
        <v>175</v>
      </c>
      <c r="G363" s="7"/>
      <c r="H363" s="7"/>
      <c r="I363" s="7">
        <v>175</v>
      </c>
      <c r="J363" s="14"/>
      <c r="K363" s="227" t="s">
        <v>153</v>
      </c>
    </row>
    <row r="364" spans="1:32" ht="15">
      <c r="A364" s="248"/>
      <c r="B364" s="250"/>
      <c r="C364" s="229"/>
      <c r="D364" s="235"/>
      <c r="E364" s="178">
        <v>2016</v>
      </c>
      <c r="F364" s="7">
        <f t="shared" si="41"/>
        <v>195</v>
      </c>
      <c r="G364" s="7"/>
      <c r="H364" s="7"/>
      <c r="I364" s="7">
        <f>185+10</f>
        <v>195</v>
      </c>
      <c r="J364" s="14"/>
      <c r="K364" s="235"/>
    </row>
    <row r="365" spans="1:32" ht="15">
      <c r="A365" s="248"/>
      <c r="B365" s="250"/>
      <c r="C365" s="229"/>
      <c r="D365" s="235"/>
      <c r="E365" s="178">
        <v>2017</v>
      </c>
      <c r="F365" s="7">
        <f t="shared" si="41"/>
        <v>151.5</v>
      </c>
      <c r="G365" s="7"/>
      <c r="H365" s="7"/>
      <c r="I365" s="7">
        <v>151.5</v>
      </c>
      <c r="J365" s="14"/>
      <c r="K365" s="235"/>
      <c r="L365" s="99"/>
    </row>
    <row r="366" spans="1:32" ht="15">
      <c r="A366" s="248"/>
      <c r="B366" s="250"/>
      <c r="C366" s="229"/>
      <c r="D366" s="235"/>
      <c r="E366" s="178">
        <v>2018</v>
      </c>
      <c r="F366" s="7">
        <f t="shared" si="41"/>
        <v>205</v>
      </c>
      <c r="G366" s="7"/>
      <c r="H366" s="7"/>
      <c r="I366" s="7">
        <v>205</v>
      </c>
      <c r="J366" s="14"/>
      <c r="K366" s="235"/>
      <c r="L366" s="99"/>
    </row>
    <row r="367" spans="1:32" ht="15">
      <c r="A367" s="248"/>
      <c r="B367" s="250"/>
      <c r="C367" s="229"/>
      <c r="D367" s="235"/>
      <c r="E367" s="178">
        <v>2019</v>
      </c>
      <c r="F367" s="7">
        <f t="shared" si="41"/>
        <v>115</v>
      </c>
      <c r="G367" s="7"/>
      <c r="H367" s="7"/>
      <c r="I367" s="7">
        <v>115</v>
      </c>
      <c r="J367" s="14"/>
      <c r="K367" s="235"/>
      <c r="L367" s="99"/>
    </row>
    <row r="368" spans="1:32" ht="15">
      <c r="A368" s="248"/>
      <c r="B368" s="250"/>
      <c r="C368" s="229"/>
      <c r="D368" s="235"/>
      <c r="E368" s="178">
        <v>2020</v>
      </c>
      <c r="F368" s="7">
        <f t="shared" si="41"/>
        <v>0</v>
      </c>
      <c r="G368" s="7"/>
      <c r="H368" s="7"/>
      <c r="I368" s="7">
        <v>0</v>
      </c>
      <c r="J368" s="14"/>
      <c r="K368" s="235"/>
    </row>
    <row r="369" spans="1:32" ht="58.5" customHeight="1">
      <c r="A369" s="248"/>
      <c r="B369" s="250"/>
      <c r="C369" s="229"/>
      <c r="D369" s="235"/>
      <c r="E369" s="26" t="s">
        <v>18</v>
      </c>
      <c r="F369" s="9">
        <f>SUM(F363:F368)</f>
        <v>841.5</v>
      </c>
      <c r="G369" s="9"/>
      <c r="H369" s="9"/>
      <c r="I369" s="9">
        <f>SUM(I363:I368)</f>
        <v>841.5</v>
      </c>
      <c r="J369" s="22"/>
      <c r="K369" s="228"/>
    </row>
    <row r="370" spans="1:32" ht="15">
      <c r="A370" s="265" t="s">
        <v>297</v>
      </c>
      <c r="B370" s="249" t="s">
        <v>80</v>
      </c>
      <c r="C370" s="233" t="s">
        <v>68</v>
      </c>
      <c r="D370" s="227" t="s">
        <v>218</v>
      </c>
      <c r="E370" s="178">
        <v>2017</v>
      </c>
      <c r="F370" s="7">
        <f t="shared" ref="F370:F373" si="42">SUM(G370:I370)</f>
        <v>200</v>
      </c>
      <c r="G370" s="7"/>
      <c r="H370" s="7"/>
      <c r="I370" s="7">
        <v>200</v>
      </c>
      <c r="J370" s="14"/>
      <c r="K370" s="227" t="s">
        <v>169</v>
      </c>
      <c r="L370" s="99"/>
    </row>
    <row r="371" spans="1:32" ht="15">
      <c r="A371" s="266"/>
      <c r="B371" s="250"/>
      <c r="C371" s="234"/>
      <c r="D371" s="235"/>
      <c r="E371" s="178">
        <v>2018</v>
      </c>
      <c r="F371" s="7">
        <f t="shared" si="42"/>
        <v>240</v>
      </c>
      <c r="G371" s="7"/>
      <c r="H371" s="7"/>
      <c r="I371" s="7">
        <v>240</v>
      </c>
      <c r="J371" s="14"/>
      <c r="K371" s="235"/>
    </row>
    <row r="372" spans="1:32" ht="15">
      <c r="A372" s="266"/>
      <c r="B372" s="250"/>
      <c r="C372" s="234"/>
      <c r="D372" s="235"/>
      <c r="E372" s="178">
        <v>2019</v>
      </c>
      <c r="F372" s="7">
        <f t="shared" si="42"/>
        <v>160</v>
      </c>
      <c r="G372" s="7"/>
      <c r="H372" s="7"/>
      <c r="I372" s="7">
        <v>160</v>
      </c>
      <c r="J372" s="14"/>
      <c r="K372" s="235"/>
      <c r="L372" s="99"/>
    </row>
    <row r="373" spans="1:32" ht="15">
      <c r="A373" s="266"/>
      <c r="B373" s="250"/>
      <c r="C373" s="234"/>
      <c r="D373" s="235"/>
      <c r="E373" s="178">
        <v>2020</v>
      </c>
      <c r="F373" s="7">
        <f t="shared" si="42"/>
        <v>0</v>
      </c>
      <c r="G373" s="7"/>
      <c r="H373" s="7"/>
      <c r="I373" s="7">
        <v>0</v>
      </c>
      <c r="J373" s="14"/>
      <c r="K373" s="235"/>
      <c r="L373" s="99"/>
    </row>
    <row r="374" spans="1:32" ht="58.5" customHeight="1" thickBot="1">
      <c r="A374" s="266"/>
      <c r="B374" s="250"/>
      <c r="C374" s="234"/>
      <c r="D374" s="235"/>
      <c r="E374" s="26" t="s">
        <v>18</v>
      </c>
      <c r="F374" s="9">
        <f>SUM(F370:F373)</f>
        <v>600</v>
      </c>
      <c r="G374" s="9"/>
      <c r="H374" s="9"/>
      <c r="I374" s="9">
        <f>SUM(I370:I373)</f>
        <v>600</v>
      </c>
      <c r="J374" s="22"/>
      <c r="K374" s="228"/>
    </row>
    <row r="375" spans="1:32" ht="15.75" thickBot="1">
      <c r="A375" s="528" t="s">
        <v>197</v>
      </c>
      <c r="B375" s="319"/>
      <c r="C375" s="529"/>
      <c r="D375" s="319"/>
      <c r="E375" s="54"/>
      <c r="F375" s="141">
        <f>F374+F369</f>
        <v>1441.5</v>
      </c>
      <c r="G375" s="152"/>
      <c r="H375" s="141">
        <f>H374+H369</f>
        <v>0</v>
      </c>
      <c r="I375" s="141">
        <f>I374+I369</f>
        <v>1441.5</v>
      </c>
      <c r="J375" s="50"/>
      <c r="K375" s="51"/>
      <c r="L375" s="126"/>
      <c r="M375" s="127"/>
    </row>
    <row r="376" spans="1:32" ht="16.5" thickBot="1">
      <c r="A376" s="252" t="s">
        <v>191</v>
      </c>
      <c r="B376" s="253"/>
      <c r="C376" s="253"/>
      <c r="D376" s="253"/>
      <c r="E376" s="253"/>
      <c r="F376" s="253"/>
      <c r="G376" s="253"/>
      <c r="H376" s="253"/>
      <c r="I376" s="253"/>
      <c r="J376" s="253"/>
      <c r="K376" s="254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  <c r="W376" s="55"/>
      <c r="X376" s="55"/>
      <c r="Y376" s="55"/>
      <c r="Z376" s="55"/>
      <c r="AA376" s="55"/>
      <c r="AB376" s="55"/>
      <c r="AC376" s="55"/>
      <c r="AD376" s="55"/>
      <c r="AE376" s="55"/>
      <c r="AF376" s="56"/>
    </row>
    <row r="377" spans="1:32" ht="15">
      <c r="A377" s="256" t="s">
        <v>154</v>
      </c>
      <c r="B377" s="244" t="s">
        <v>308</v>
      </c>
      <c r="C377" s="241" t="s">
        <v>68</v>
      </c>
      <c r="D377" s="235" t="s">
        <v>218</v>
      </c>
      <c r="E377" s="174">
        <v>2015</v>
      </c>
      <c r="F377" s="144">
        <f t="shared" ref="F377:F382" si="43">SUM(G377:I377)</f>
        <v>275</v>
      </c>
      <c r="G377" s="144"/>
      <c r="H377" s="144"/>
      <c r="I377" s="144">
        <v>275</v>
      </c>
      <c r="J377" s="12"/>
      <c r="K377" s="235" t="s">
        <v>155</v>
      </c>
    </row>
    <row r="378" spans="1:32" ht="15">
      <c r="A378" s="530"/>
      <c r="B378" s="231"/>
      <c r="C378" s="229"/>
      <c r="D378" s="235"/>
      <c r="E378" s="178">
        <v>2016</v>
      </c>
      <c r="F378" s="7">
        <f t="shared" si="43"/>
        <v>294.7</v>
      </c>
      <c r="G378" s="7"/>
      <c r="H378" s="7"/>
      <c r="I378" s="7">
        <f>295-0.3</f>
        <v>294.7</v>
      </c>
      <c r="J378" s="14"/>
      <c r="K378" s="235"/>
    </row>
    <row r="379" spans="1:32" ht="15">
      <c r="A379" s="530"/>
      <c r="B379" s="231"/>
      <c r="C379" s="229"/>
      <c r="D379" s="235"/>
      <c r="E379" s="178">
        <v>2017</v>
      </c>
      <c r="F379" s="7">
        <f t="shared" si="43"/>
        <v>0</v>
      </c>
      <c r="G379" s="7"/>
      <c r="H379" s="7"/>
      <c r="I379" s="7">
        <f>240.5-240.5</f>
        <v>0</v>
      </c>
      <c r="J379" s="14"/>
      <c r="K379" s="235"/>
      <c r="L379" s="99" t="s">
        <v>382</v>
      </c>
      <c r="N379" s="99"/>
      <c r="O379" s="99"/>
    </row>
    <row r="380" spans="1:32" ht="15">
      <c r="A380" s="530"/>
      <c r="B380" s="231"/>
      <c r="C380" s="229"/>
      <c r="D380" s="235"/>
      <c r="E380" s="178">
        <v>2018</v>
      </c>
      <c r="F380" s="7">
        <f t="shared" si="43"/>
        <v>0</v>
      </c>
      <c r="G380" s="7"/>
      <c r="H380" s="7"/>
      <c r="I380" s="7">
        <v>0</v>
      </c>
      <c r="J380" s="14"/>
      <c r="K380" s="235"/>
      <c r="L380" s="99"/>
      <c r="N380" s="99"/>
      <c r="O380" s="99"/>
    </row>
    <row r="381" spans="1:32" ht="15">
      <c r="A381" s="530"/>
      <c r="B381" s="231"/>
      <c r="C381" s="229"/>
      <c r="D381" s="235"/>
      <c r="E381" s="178">
        <v>2019</v>
      </c>
      <c r="F381" s="7">
        <f t="shared" si="43"/>
        <v>0</v>
      </c>
      <c r="G381" s="7"/>
      <c r="H381" s="7"/>
      <c r="I381" s="7">
        <v>0</v>
      </c>
      <c r="J381" s="14"/>
      <c r="K381" s="235"/>
      <c r="L381" s="99"/>
    </row>
    <row r="382" spans="1:32" ht="15">
      <c r="A382" s="530"/>
      <c r="B382" s="231"/>
      <c r="C382" s="229"/>
      <c r="D382" s="235"/>
      <c r="E382" s="178">
        <v>2020</v>
      </c>
      <c r="F382" s="7">
        <f t="shared" si="43"/>
        <v>0</v>
      </c>
      <c r="G382" s="7"/>
      <c r="H382" s="7"/>
      <c r="I382" s="7">
        <v>0</v>
      </c>
      <c r="J382" s="14"/>
      <c r="K382" s="235"/>
    </row>
    <row r="383" spans="1:32" ht="59.25" customHeight="1" thickBot="1">
      <c r="A383" s="530"/>
      <c r="B383" s="242"/>
      <c r="C383" s="229"/>
      <c r="D383" s="235"/>
      <c r="E383" s="26" t="s">
        <v>18</v>
      </c>
      <c r="F383" s="9">
        <f>SUM(F377:F382)</f>
        <v>569.70000000000005</v>
      </c>
      <c r="G383" s="9"/>
      <c r="H383" s="9">
        <f>SUM(H377:H382)</f>
        <v>0</v>
      </c>
      <c r="I383" s="9">
        <f>SUM(I377:I382)</f>
        <v>569.70000000000005</v>
      </c>
      <c r="J383" s="22"/>
      <c r="K383" s="235"/>
      <c r="L383" s="126"/>
      <c r="M383" s="127"/>
    </row>
    <row r="384" spans="1:32" ht="15.75" thickBot="1">
      <c r="A384" s="318" t="s">
        <v>199</v>
      </c>
      <c r="B384" s="319"/>
      <c r="C384" s="319"/>
      <c r="D384" s="319"/>
      <c r="E384" s="93"/>
      <c r="F384" s="150">
        <f>SUM(F383)</f>
        <v>569.70000000000005</v>
      </c>
      <c r="G384" s="149"/>
      <c r="H384" s="150">
        <f>SUM(H383)</f>
        <v>0</v>
      </c>
      <c r="I384" s="150">
        <f>SUM(I383)</f>
        <v>569.70000000000005</v>
      </c>
      <c r="J384" s="102"/>
      <c r="K384" s="103"/>
    </row>
    <row r="385" spans="1:35" ht="16.5" thickBot="1">
      <c r="A385" s="252" t="s">
        <v>192</v>
      </c>
      <c r="B385" s="253"/>
      <c r="C385" s="253"/>
      <c r="D385" s="253"/>
      <c r="E385" s="253"/>
      <c r="F385" s="253"/>
      <c r="G385" s="253"/>
      <c r="H385" s="253"/>
      <c r="I385" s="253"/>
      <c r="J385" s="253"/>
      <c r="K385" s="254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  <c r="W385" s="55"/>
      <c r="X385" s="55"/>
      <c r="Y385" s="55"/>
      <c r="Z385" s="55"/>
      <c r="AA385" s="55"/>
      <c r="AB385" s="55"/>
      <c r="AC385" s="55"/>
      <c r="AD385" s="55"/>
      <c r="AE385" s="55"/>
      <c r="AF385" s="56"/>
    </row>
    <row r="386" spans="1:35" ht="15">
      <c r="A386" s="313" t="s">
        <v>156</v>
      </c>
      <c r="B386" s="453" t="s">
        <v>239</v>
      </c>
      <c r="C386" s="241" t="s">
        <v>68</v>
      </c>
      <c r="D386" s="235" t="s">
        <v>218</v>
      </c>
      <c r="E386" s="174">
        <v>2015</v>
      </c>
      <c r="F386" s="144">
        <f t="shared" ref="F386:F391" si="44">SUM(G386:J386)</f>
        <v>1715</v>
      </c>
      <c r="G386" s="144"/>
      <c r="H386" s="144">
        <v>1715</v>
      </c>
      <c r="I386" s="12"/>
      <c r="J386" s="12"/>
      <c r="K386" s="235" t="s">
        <v>157</v>
      </c>
    </row>
    <row r="387" spans="1:35" ht="15">
      <c r="A387" s="314"/>
      <c r="B387" s="249"/>
      <c r="C387" s="229"/>
      <c r="D387" s="235"/>
      <c r="E387" s="178">
        <v>2016</v>
      </c>
      <c r="F387" s="7">
        <f t="shared" si="44"/>
        <v>931.30000000000018</v>
      </c>
      <c r="G387" s="7"/>
      <c r="H387" s="7">
        <f>2151.3-1220</f>
        <v>931.30000000000018</v>
      </c>
      <c r="I387" s="14"/>
      <c r="J387" s="14"/>
      <c r="K387" s="532"/>
      <c r="L387" s="99"/>
    </row>
    <row r="388" spans="1:35" ht="15">
      <c r="A388" s="314"/>
      <c r="B388" s="249"/>
      <c r="C388" s="229"/>
      <c r="D388" s="235"/>
      <c r="E388" s="178">
        <v>2017</v>
      </c>
      <c r="F388" s="7">
        <f t="shared" si="44"/>
        <v>1100</v>
      </c>
      <c r="G388" s="7"/>
      <c r="H388" s="7">
        <v>1100</v>
      </c>
      <c r="I388" s="14"/>
      <c r="J388" s="14"/>
      <c r="K388" s="532"/>
      <c r="L388" s="99"/>
      <c r="M388" s="106"/>
    </row>
    <row r="389" spans="1:35" ht="15">
      <c r="A389" s="314"/>
      <c r="B389" s="249"/>
      <c r="C389" s="229"/>
      <c r="D389" s="235"/>
      <c r="E389" s="178">
        <v>2018</v>
      </c>
      <c r="F389" s="7">
        <f t="shared" si="44"/>
        <v>850</v>
      </c>
      <c r="G389" s="7"/>
      <c r="H389" s="7">
        <v>850</v>
      </c>
      <c r="I389" s="14"/>
      <c r="J389" s="14"/>
      <c r="K389" s="532"/>
      <c r="L389" s="99"/>
      <c r="M389" s="106"/>
    </row>
    <row r="390" spans="1:35" ht="15">
      <c r="A390" s="314"/>
      <c r="B390" s="249"/>
      <c r="C390" s="229"/>
      <c r="D390" s="235"/>
      <c r="E390" s="178">
        <v>2019</v>
      </c>
      <c r="F390" s="7">
        <f t="shared" si="44"/>
        <v>900</v>
      </c>
      <c r="G390" s="7"/>
      <c r="H390" s="7">
        <v>900</v>
      </c>
      <c r="I390" s="14"/>
      <c r="J390" s="14"/>
      <c r="K390" s="532"/>
      <c r="L390" s="99"/>
      <c r="M390" s="106"/>
    </row>
    <row r="391" spans="1:35" ht="15">
      <c r="A391" s="314"/>
      <c r="B391" s="249"/>
      <c r="C391" s="229"/>
      <c r="D391" s="235"/>
      <c r="E391" s="178">
        <v>2020</v>
      </c>
      <c r="F391" s="7">
        <f t="shared" si="44"/>
        <v>900</v>
      </c>
      <c r="G391" s="7"/>
      <c r="H391" s="7">
        <v>900</v>
      </c>
      <c r="I391" s="14"/>
      <c r="J391" s="14"/>
      <c r="K391" s="532"/>
    </row>
    <row r="392" spans="1:35" ht="63.75" customHeight="1">
      <c r="A392" s="314"/>
      <c r="B392" s="531"/>
      <c r="C392" s="229"/>
      <c r="D392" s="235"/>
      <c r="E392" s="26" t="s">
        <v>18</v>
      </c>
      <c r="F392" s="9">
        <f>SUM(F386:F391)</f>
        <v>6396.3</v>
      </c>
      <c r="G392" s="9"/>
      <c r="H392" s="9">
        <f>SUM(H386:H391)</f>
        <v>6396.3</v>
      </c>
      <c r="I392" s="22"/>
      <c r="J392" s="22"/>
      <c r="K392" s="532"/>
      <c r="L392" s="126"/>
      <c r="M392" s="127"/>
    </row>
    <row r="393" spans="1:35" ht="18" customHeight="1">
      <c r="A393" s="251" t="s">
        <v>221</v>
      </c>
      <c r="B393" s="251"/>
      <c r="C393" s="251"/>
      <c r="D393" s="251"/>
      <c r="E393" s="167"/>
      <c r="F393" s="153">
        <f>F392</f>
        <v>6396.3</v>
      </c>
      <c r="G393" s="154"/>
      <c r="H393" s="153">
        <f>H392</f>
        <v>6396.3</v>
      </c>
      <c r="I393" s="167"/>
      <c r="J393" s="167"/>
      <c r="K393" s="167"/>
    </row>
    <row r="394" spans="1:35" ht="47.25" customHeight="1" thickBot="1">
      <c r="A394" s="516" t="s">
        <v>222</v>
      </c>
      <c r="B394" s="516"/>
      <c r="C394" s="516"/>
      <c r="D394" s="517"/>
      <c r="E394" s="185" t="s">
        <v>61</v>
      </c>
      <c r="F394" s="185" t="s">
        <v>18</v>
      </c>
      <c r="G394" s="185" t="s">
        <v>10</v>
      </c>
      <c r="H394" s="186" t="s">
        <v>11</v>
      </c>
      <c r="I394" s="186" t="s">
        <v>12</v>
      </c>
      <c r="J394" s="186" t="s">
        <v>13</v>
      </c>
      <c r="K394" s="187"/>
    </row>
    <row r="395" spans="1:35" ht="15" thickBot="1">
      <c r="A395" s="518"/>
      <c r="B395" s="518"/>
      <c r="C395" s="518"/>
      <c r="D395" s="519"/>
      <c r="E395" s="188"/>
      <c r="F395" s="189">
        <f>SUM(G395:J395)</f>
        <v>4110175.4000000004</v>
      </c>
      <c r="G395" s="189">
        <f>G392+G384+G375+G361+G314+G279</f>
        <v>0</v>
      </c>
      <c r="H395" s="189">
        <f>H392+H384+H375+H361+H314+H279</f>
        <v>3744957.9000000004</v>
      </c>
      <c r="I395" s="189">
        <f>I392+I384+I375+I361+I314+I279</f>
        <v>365217.5</v>
      </c>
      <c r="J395" s="190"/>
      <c r="K395" s="191"/>
    </row>
    <row r="396" spans="1:35" ht="41.25" customHeight="1">
      <c r="A396" s="303" t="s">
        <v>231</v>
      </c>
      <c r="B396" s="304"/>
      <c r="C396" s="304"/>
      <c r="D396" s="304"/>
      <c r="E396" s="304"/>
      <c r="F396" s="304"/>
      <c r="G396" s="304"/>
      <c r="H396" s="304"/>
      <c r="I396" s="304"/>
      <c r="J396" s="304"/>
      <c r="K396" s="304"/>
      <c r="L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F396" s="38"/>
      <c r="AG396" s="38"/>
      <c r="AH396" s="38"/>
      <c r="AI396" s="39"/>
    </row>
    <row r="397" spans="1:35" ht="35.25" customHeight="1">
      <c r="A397" s="311" t="s">
        <v>193</v>
      </c>
      <c r="B397" s="312"/>
      <c r="C397" s="312"/>
      <c r="D397" s="312"/>
      <c r="E397" s="312"/>
      <c r="F397" s="312"/>
      <c r="G397" s="312"/>
      <c r="H397" s="312"/>
      <c r="I397" s="312"/>
      <c r="J397" s="312"/>
      <c r="K397" s="312"/>
      <c r="L397" s="57"/>
      <c r="M397" s="57"/>
      <c r="N397" s="57"/>
      <c r="O397" s="57"/>
      <c r="P397" s="57"/>
      <c r="Q397" s="57"/>
      <c r="R397" s="57"/>
      <c r="S397" s="57"/>
      <c r="T397" s="57"/>
      <c r="U397" s="57"/>
      <c r="V397" s="57"/>
      <c r="W397" s="57"/>
      <c r="X397" s="57"/>
      <c r="Y397" s="57"/>
      <c r="Z397" s="57"/>
      <c r="AA397" s="57"/>
      <c r="AB397" s="57"/>
      <c r="AC397" s="57"/>
      <c r="AD397" s="57"/>
      <c r="AE397" s="57"/>
      <c r="AF397" s="57"/>
      <c r="AG397" s="57"/>
      <c r="AH397" s="57"/>
      <c r="AI397" s="58"/>
    </row>
    <row r="398" spans="1:35">
      <c r="A398" s="504" t="s">
        <v>103</v>
      </c>
      <c r="B398" s="223" t="s">
        <v>69</v>
      </c>
      <c r="C398" s="225" t="s">
        <v>68</v>
      </c>
      <c r="D398" s="227" t="s">
        <v>218</v>
      </c>
      <c r="E398" s="178">
        <v>2015</v>
      </c>
      <c r="F398" s="178"/>
      <c r="G398" s="178"/>
      <c r="H398" s="178"/>
      <c r="I398" s="178"/>
      <c r="J398" s="178"/>
      <c r="K398" s="227" t="s">
        <v>158</v>
      </c>
    </row>
    <row r="399" spans="1:35">
      <c r="A399" s="314"/>
      <c r="B399" s="270"/>
      <c r="C399" s="229"/>
      <c r="D399" s="235"/>
      <c r="E399" s="178">
        <v>2016</v>
      </c>
      <c r="F399" s="178"/>
      <c r="G399" s="178"/>
      <c r="H399" s="178"/>
      <c r="I399" s="178"/>
      <c r="J399" s="178"/>
      <c r="K399" s="235"/>
    </row>
    <row r="400" spans="1:35">
      <c r="A400" s="314"/>
      <c r="B400" s="270"/>
      <c r="C400" s="229"/>
      <c r="D400" s="235"/>
      <c r="E400" s="178">
        <v>2017</v>
      </c>
      <c r="F400" s="178"/>
      <c r="G400" s="178"/>
      <c r="H400" s="178"/>
      <c r="I400" s="178"/>
      <c r="J400" s="178"/>
      <c r="K400" s="235"/>
    </row>
    <row r="401" spans="1:35">
      <c r="A401" s="314"/>
      <c r="B401" s="270"/>
      <c r="C401" s="229"/>
      <c r="D401" s="235"/>
      <c r="E401" s="178">
        <v>2018</v>
      </c>
      <c r="F401" s="178"/>
      <c r="G401" s="178"/>
      <c r="H401" s="178"/>
      <c r="I401" s="178"/>
      <c r="J401" s="178"/>
      <c r="K401" s="235"/>
      <c r="L401" s="99"/>
    </row>
    <row r="402" spans="1:35">
      <c r="A402" s="314"/>
      <c r="B402" s="270"/>
      <c r="C402" s="229"/>
      <c r="D402" s="235"/>
      <c r="E402" s="178">
        <v>2019</v>
      </c>
      <c r="F402" s="178"/>
      <c r="G402" s="178"/>
      <c r="H402" s="178"/>
      <c r="I402" s="178"/>
      <c r="J402" s="178"/>
      <c r="K402" s="235"/>
    </row>
    <row r="403" spans="1:35">
      <c r="A403" s="314"/>
      <c r="B403" s="270"/>
      <c r="C403" s="229"/>
      <c r="D403" s="235"/>
      <c r="E403" s="178">
        <v>2020</v>
      </c>
      <c r="F403" s="178"/>
      <c r="G403" s="178"/>
      <c r="H403" s="178"/>
      <c r="I403" s="178"/>
      <c r="J403" s="178"/>
      <c r="K403" s="235"/>
      <c r="L403" s="127"/>
      <c r="M403" s="127"/>
    </row>
    <row r="404" spans="1:35" ht="13.5" thickBot="1">
      <c r="A404" s="314"/>
      <c r="B404" s="270"/>
      <c r="C404" s="229"/>
      <c r="D404" s="235"/>
      <c r="E404" s="26" t="s">
        <v>18</v>
      </c>
      <c r="F404" s="26"/>
      <c r="G404" s="173"/>
      <c r="H404" s="173"/>
      <c r="I404" s="173"/>
      <c r="J404" s="173"/>
      <c r="K404" s="235"/>
    </row>
    <row r="405" spans="1:35" ht="30" customHeight="1" thickBot="1">
      <c r="A405" s="305" t="s">
        <v>194</v>
      </c>
      <c r="B405" s="312"/>
      <c r="C405" s="312"/>
      <c r="D405" s="312"/>
      <c r="E405" s="312"/>
      <c r="F405" s="312"/>
      <c r="G405" s="312"/>
      <c r="H405" s="312"/>
      <c r="I405" s="312"/>
      <c r="J405" s="312"/>
      <c r="K405" s="312"/>
      <c r="L405" s="59"/>
      <c r="M405" s="59"/>
      <c r="N405" s="59"/>
      <c r="O405" s="59"/>
      <c r="P405" s="59"/>
      <c r="Q405" s="59"/>
      <c r="R405" s="59"/>
      <c r="S405" s="59"/>
      <c r="T405" s="59"/>
      <c r="U405" s="59"/>
      <c r="V405" s="59"/>
      <c r="W405" s="59"/>
      <c r="X405" s="59"/>
      <c r="Y405" s="59"/>
      <c r="Z405" s="59"/>
      <c r="AA405" s="59"/>
      <c r="AB405" s="59"/>
      <c r="AC405" s="59"/>
      <c r="AD405" s="59"/>
      <c r="AE405" s="59"/>
      <c r="AF405" s="59"/>
      <c r="AG405" s="59"/>
      <c r="AH405" s="59"/>
      <c r="AI405" s="60"/>
    </row>
    <row r="406" spans="1:35" ht="15" thickBot="1">
      <c r="A406" s="533" t="s">
        <v>70</v>
      </c>
      <c r="B406" s="534"/>
      <c r="C406" s="534"/>
      <c r="D406" s="534"/>
      <c r="E406" s="534"/>
      <c r="F406" s="534"/>
      <c r="G406" s="534"/>
      <c r="H406" s="534"/>
      <c r="I406" s="534"/>
      <c r="J406" s="534"/>
      <c r="K406" s="535"/>
      <c r="L406" s="61"/>
      <c r="M406" s="61"/>
      <c r="N406" s="61"/>
      <c r="O406" s="61"/>
      <c r="P406" s="61"/>
      <c r="Q406" s="61"/>
      <c r="R406" s="61"/>
      <c r="S406" s="61"/>
      <c r="T406" s="61"/>
      <c r="U406" s="61"/>
      <c r="V406" s="61"/>
      <c r="W406" s="61"/>
      <c r="X406" s="61"/>
      <c r="Y406" s="61"/>
      <c r="Z406" s="61"/>
      <c r="AA406" s="61"/>
      <c r="AB406" s="61"/>
      <c r="AC406" s="61"/>
      <c r="AD406" s="61"/>
      <c r="AE406" s="61"/>
      <c r="AF406" s="61"/>
      <c r="AG406" s="61"/>
      <c r="AH406" s="61"/>
      <c r="AI406" s="62"/>
    </row>
    <row r="407" spans="1:35" ht="12.75" customHeight="1">
      <c r="A407" s="342" t="s">
        <v>64</v>
      </c>
      <c r="B407" s="503" t="s">
        <v>160</v>
      </c>
      <c r="C407" s="225" t="s">
        <v>68</v>
      </c>
      <c r="D407" s="227" t="s">
        <v>218</v>
      </c>
      <c r="E407" s="178">
        <v>2015</v>
      </c>
      <c r="F407" s="7">
        <f t="shared" ref="F407:F412" si="45">SUM(G407:J407)</f>
        <v>44637.9</v>
      </c>
      <c r="G407" s="7"/>
      <c r="H407" s="7"/>
      <c r="I407" s="7">
        <f>49100-1324.1-939.1-30-1573.9-583-12</f>
        <v>44637.9</v>
      </c>
      <c r="J407" s="14"/>
      <c r="K407" s="227" t="s">
        <v>159</v>
      </c>
    </row>
    <row r="408" spans="1:35" ht="15">
      <c r="A408" s="343"/>
      <c r="B408" s="232"/>
      <c r="C408" s="229"/>
      <c r="D408" s="235"/>
      <c r="E408" s="178">
        <v>2016</v>
      </c>
      <c r="F408" s="7">
        <f t="shared" si="45"/>
        <v>44921</v>
      </c>
      <c r="G408" s="7"/>
      <c r="H408" s="7"/>
      <c r="I408" s="7">
        <f>47428-1000-707-500-300</f>
        <v>44921</v>
      </c>
      <c r="J408" s="14"/>
      <c r="K408" s="235"/>
    </row>
    <row r="409" spans="1:35" ht="15">
      <c r="A409" s="343"/>
      <c r="B409" s="232"/>
      <c r="C409" s="229"/>
      <c r="D409" s="235"/>
      <c r="E409" s="178">
        <v>2017</v>
      </c>
      <c r="F409" s="7">
        <f t="shared" si="45"/>
        <v>48074.7</v>
      </c>
      <c r="G409" s="7"/>
      <c r="H409" s="7"/>
      <c r="I409" s="7">
        <f>42110.2+3343.8+2620.7</f>
        <v>48074.7</v>
      </c>
      <c r="J409" s="14"/>
      <c r="K409" s="235"/>
      <c r="L409" s="128" t="s">
        <v>367</v>
      </c>
      <c r="M409" s="4">
        <v>3343.8</v>
      </c>
    </row>
    <row r="410" spans="1:35" ht="15">
      <c r="A410" s="343"/>
      <c r="B410" s="232"/>
      <c r="C410" s="229"/>
      <c r="D410" s="235"/>
      <c r="E410" s="178">
        <v>2018</v>
      </c>
      <c r="F410" s="7">
        <f t="shared" si="45"/>
        <v>46681.7</v>
      </c>
      <c r="G410" s="7"/>
      <c r="H410" s="7"/>
      <c r="I410" s="7">
        <v>46681.7</v>
      </c>
      <c r="J410" s="14"/>
      <c r="K410" s="235"/>
      <c r="L410" s="99"/>
      <c r="M410" s="106"/>
    </row>
    <row r="411" spans="1:35" ht="15">
      <c r="A411" s="343"/>
      <c r="B411" s="232"/>
      <c r="C411" s="229"/>
      <c r="D411" s="235"/>
      <c r="E411" s="178">
        <v>2019</v>
      </c>
      <c r="F411" s="7">
        <f t="shared" ref="F411" si="46">SUM(G411:J411)</f>
        <v>44581.8</v>
      </c>
      <c r="G411" s="7"/>
      <c r="H411" s="7"/>
      <c r="I411" s="7">
        <v>44581.8</v>
      </c>
      <c r="J411" s="14"/>
      <c r="K411" s="235"/>
      <c r="L411" s="99"/>
      <c r="M411" s="106"/>
    </row>
    <row r="412" spans="1:35" ht="15">
      <c r="A412" s="343"/>
      <c r="B412" s="232"/>
      <c r="C412" s="229"/>
      <c r="D412" s="235"/>
      <c r="E412" s="178">
        <v>2020</v>
      </c>
      <c r="F412" s="7">
        <f t="shared" si="45"/>
        <v>43670</v>
      </c>
      <c r="G412" s="7"/>
      <c r="H412" s="7"/>
      <c r="I412" s="7">
        <v>43670</v>
      </c>
      <c r="J412" s="14"/>
      <c r="K412" s="235"/>
    </row>
    <row r="413" spans="1:35" ht="15.75" customHeight="1" thickBot="1">
      <c r="A413" s="343"/>
      <c r="B413" s="240"/>
      <c r="C413" s="338"/>
      <c r="D413" s="235"/>
      <c r="E413" s="18" t="s">
        <v>18</v>
      </c>
      <c r="F413" s="8">
        <f>SUM(F407:F412)</f>
        <v>272567.09999999998</v>
      </c>
      <c r="G413" s="8"/>
      <c r="H413" s="8">
        <f>SUM(H410:H412)</f>
        <v>0</v>
      </c>
      <c r="I413" s="8">
        <f>SUM(I407:I412)</f>
        <v>272567.09999999998</v>
      </c>
      <c r="J413" s="14"/>
      <c r="K413" s="228"/>
    </row>
    <row r="414" spans="1:35" ht="15" thickBot="1">
      <c r="A414" s="238" t="s">
        <v>71</v>
      </c>
      <c r="B414" s="232"/>
      <c r="C414" s="232"/>
      <c r="D414" s="232"/>
      <c r="E414" s="232"/>
      <c r="F414" s="232"/>
      <c r="G414" s="232"/>
      <c r="H414" s="232"/>
      <c r="I414" s="232"/>
      <c r="J414" s="232"/>
      <c r="K414" s="232"/>
      <c r="L414" s="25"/>
      <c r="M414" s="63"/>
      <c r="N414" s="63"/>
      <c r="O414" s="63"/>
      <c r="P414" s="63"/>
      <c r="Q414" s="63"/>
      <c r="R414" s="63"/>
      <c r="S414" s="63"/>
      <c r="T414" s="63"/>
      <c r="U414" s="63"/>
      <c r="V414" s="63"/>
      <c r="W414" s="63"/>
      <c r="X414" s="63"/>
      <c r="Y414" s="63"/>
      <c r="Z414" s="63"/>
      <c r="AA414" s="63"/>
      <c r="AB414" s="63"/>
      <c r="AC414" s="63"/>
      <c r="AD414" s="63"/>
      <c r="AE414" s="63"/>
      <c r="AF414" s="63"/>
      <c r="AG414" s="63"/>
      <c r="AH414" s="63"/>
      <c r="AI414" s="64"/>
    </row>
    <row r="415" spans="1:35">
      <c r="A415" s="350" t="s">
        <v>293</v>
      </c>
      <c r="B415" s="503" t="s">
        <v>161</v>
      </c>
      <c r="C415" s="225" t="s">
        <v>68</v>
      </c>
      <c r="D415" s="227" t="s">
        <v>218</v>
      </c>
      <c r="E415" s="178">
        <v>2015</v>
      </c>
      <c r="F415" s="14"/>
      <c r="G415" s="14"/>
      <c r="H415" s="14"/>
      <c r="I415" s="14"/>
      <c r="J415" s="14"/>
      <c r="K415" s="227" t="s">
        <v>162</v>
      </c>
      <c r="L415" s="28"/>
    </row>
    <row r="416" spans="1:35">
      <c r="A416" s="351"/>
      <c r="B416" s="232"/>
      <c r="C416" s="229"/>
      <c r="D416" s="235"/>
      <c r="E416" s="178">
        <v>2016</v>
      </c>
      <c r="F416" s="14"/>
      <c r="G416" s="14"/>
      <c r="H416" s="14"/>
      <c r="I416" s="14"/>
      <c r="J416" s="14"/>
      <c r="K416" s="235"/>
    </row>
    <row r="417" spans="1:14">
      <c r="A417" s="351"/>
      <c r="B417" s="232"/>
      <c r="C417" s="229"/>
      <c r="D417" s="235"/>
      <c r="E417" s="178">
        <v>2017</v>
      </c>
      <c r="F417" s="14"/>
      <c r="G417" s="14"/>
      <c r="H417" s="14"/>
      <c r="I417" s="14"/>
      <c r="J417" s="14"/>
      <c r="K417" s="235"/>
      <c r="L417" s="99"/>
    </row>
    <row r="418" spans="1:14" ht="15">
      <c r="A418" s="351"/>
      <c r="B418" s="232"/>
      <c r="C418" s="229"/>
      <c r="D418" s="235"/>
      <c r="E418" s="178">
        <v>2018</v>
      </c>
      <c r="F418" s="7">
        <f>SUM(G418:J418)</f>
        <v>0</v>
      </c>
      <c r="G418" s="7"/>
      <c r="H418" s="7"/>
      <c r="I418" s="7"/>
      <c r="J418" s="7">
        <v>0</v>
      </c>
      <c r="K418" s="235"/>
      <c r="L418" s="99"/>
    </row>
    <row r="419" spans="1:14" ht="15">
      <c r="A419" s="351"/>
      <c r="B419" s="232"/>
      <c r="C419" s="229"/>
      <c r="D419" s="235"/>
      <c r="E419" s="178">
        <v>2019</v>
      </c>
      <c r="F419" s="7">
        <f>SUM(G419:J419)</f>
        <v>0</v>
      </c>
      <c r="G419" s="7"/>
      <c r="H419" s="7"/>
      <c r="I419" s="7"/>
      <c r="J419" s="7">
        <v>0</v>
      </c>
      <c r="K419" s="235"/>
    </row>
    <row r="420" spans="1:14" ht="15">
      <c r="A420" s="351"/>
      <c r="B420" s="232"/>
      <c r="C420" s="229"/>
      <c r="D420" s="235"/>
      <c r="E420" s="178">
        <v>2020</v>
      </c>
      <c r="F420" s="7">
        <f>SUM(G420:J420)</f>
        <v>0</v>
      </c>
      <c r="G420" s="7"/>
      <c r="H420" s="7"/>
      <c r="I420" s="7"/>
      <c r="J420" s="7">
        <v>0</v>
      </c>
      <c r="K420" s="235"/>
    </row>
    <row r="421" spans="1:14" ht="25.5" customHeight="1">
      <c r="A421" s="351"/>
      <c r="B421" s="232"/>
      <c r="C421" s="229"/>
      <c r="D421" s="235"/>
      <c r="E421" s="18" t="s">
        <v>18</v>
      </c>
      <c r="F421" s="8">
        <f>SUM(F415:F420)</f>
        <v>0</v>
      </c>
      <c r="G421" s="7"/>
      <c r="H421" s="7"/>
      <c r="I421" s="7"/>
      <c r="J421" s="8">
        <f>SUM(J415:J420)</f>
        <v>0</v>
      </c>
      <c r="K421" s="228"/>
    </row>
    <row r="422" spans="1:14">
      <c r="A422" s="508" t="s">
        <v>72</v>
      </c>
      <c r="B422" s="244" t="s">
        <v>163</v>
      </c>
      <c r="C422" s="233" t="s">
        <v>68</v>
      </c>
      <c r="D422" s="227" t="s">
        <v>218</v>
      </c>
      <c r="E422" s="174">
        <v>2015</v>
      </c>
      <c r="F422" s="12"/>
      <c r="G422" s="12"/>
      <c r="H422" s="12"/>
      <c r="I422" s="12"/>
      <c r="J422" s="12"/>
      <c r="K422" s="227" t="s">
        <v>162</v>
      </c>
    </row>
    <row r="423" spans="1:14">
      <c r="A423" s="237"/>
      <c r="B423" s="232"/>
      <c r="C423" s="234"/>
      <c r="D423" s="235"/>
      <c r="E423" s="178">
        <v>2016</v>
      </c>
      <c r="F423" s="14"/>
      <c r="G423" s="14"/>
      <c r="H423" s="14"/>
      <c r="I423" s="14"/>
      <c r="J423" s="14"/>
      <c r="K423" s="235"/>
    </row>
    <row r="424" spans="1:14">
      <c r="A424" s="237"/>
      <c r="B424" s="232"/>
      <c r="C424" s="234"/>
      <c r="D424" s="235"/>
      <c r="E424" s="178">
        <v>2017</v>
      </c>
      <c r="F424" s="14"/>
      <c r="G424" s="14"/>
      <c r="H424" s="14"/>
      <c r="I424" s="14"/>
      <c r="J424" s="14"/>
      <c r="K424" s="235"/>
    </row>
    <row r="425" spans="1:14" ht="15">
      <c r="A425" s="237"/>
      <c r="B425" s="232"/>
      <c r="C425" s="234"/>
      <c r="D425" s="235"/>
      <c r="E425" s="178">
        <v>2018</v>
      </c>
      <c r="F425" s="7">
        <f>SUM(G425:J425)</f>
        <v>0</v>
      </c>
      <c r="G425" s="7"/>
      <c r="H425" s="7"/>
      <c r="I425" s="7"/>
      <c r="J425" s="7">
        <v>0</v>
      </c>
      <c r="K425" s="235"/>
      <c r="L425" s="99"/>
    </row>
    <row r="426" spans="1:14" ht="15">
      <c r="A426" s="237"/>
      <c r="B426" s="232"/>
      <c r="C426" s="234"/>
      <c r="D426" s="235"/>
      <c r="E426" s="178">
        <v>2019</v>
      </c>
      <c r="F426" s="7">
        <f>SUM(G426:J426)</f>
        <v>0</v>
      </c>
      <c r="G426" s="7"/>
      <c r="H426" s="7"/>
      <c r="I426" s="7"/>
      <c r="J426" s="7">
        <v>0</v>
      </c>
      <c r="K426" s="235"/>
    </row>
    <row r="427" spans="1:14" ht="15">
      <c r="A427" s="237"/>
      <c r="B427" s="232"/>
      <c r="C427" s="234"/>
      <c r="D427" s="235"/>
      <c r="E427" s="178">
        <v>2020</v>
      </c>
      <c r="F427" s="7">
        <f>SUM(G427:J427)</f>
        <v>0</v>
      </c>
      <c r="G427" s="7"/>
      <c r="H427" s="7"/>
      <c r="I427" s="7"/>
      <c r="J427" s="7">
        <v>0</v>
      </c>
      <c r="K427" s="235"/>
    </row>
    <row r="428" spans="1:14" ht="15">
      <c r="A428" s="344"/>
      <c r="B428" s="240"/>
      <c r="C428" s="234"/>
      <c r="D428" s="235"/>
      <c r="E428" s="26" t="s">
        <v>18</v>
      </c>
      <c r="F428" s="9">
        <f>SUM(F425:F427)</f>
        <v>0</v>
      </c>
      <c r="G428" s="10"/>
      <c r="H428" s="10"/>
      <c r="I428" s="10"/>
      <c r="J428" s="9">
        <f>SUM(J422:J427)</f>
        <v>0</v>
      </c>
      <c r="K428" s="235"/>
    </row>
    <row r="429" spans="1:14" ht="15">
      <c r="A429" s="363" t="s">
        <v>124</v>
      </c>
      <c r="B429" s="428" t="s">
        <v>228</v>
      </c>
      <c r="C429" s="233" t="s">
        <v>68</v>
      </c>
      <c r="D429" s="281" t="s">
        <v>218</v>
      </c>
      <c r="E429" s="178">
        <v>2015</v>
      </c>
      <c r="F429" s="7">
        <f t="shared" ref="F429:F434" si="47">SUM(G429:I429)</f>
        <v>1364.4</v>
      </c>
      <c r="G429" s="7"/>
      <c r="H429" s="7"/>
      <c r="I429" s="7">
        <f>1322.4+30+12</f>
        <v>1364.4</v>
      </c>
      <c r="J429" s="14"/>
      <c r="K429" s="281" t="s">
        <v>138</v>
      </c>
    </row>
    <row r="430" spans="1:14" ht="15">
      <c r="A430" s="364"/>
      <c r="B430" s="283"/>
      <c r="C430" s="234"/>
      <c r="D430" s="281"/>
      <c r="E430" s="178">
        <v>2016</v>
      </c>
      <c r="F430" s="7">
        <f t="shared" si="47"/>
        <v>1322.4</v>
      </c>
      <c r="G430" s="7"/>
      <c r="H430" s="7"/>
      <c r="I430" s="7">
        <v>1322.4</v>
      </c>
      <c r="J430" s="14"/>
      <c r="K430" s="281"/>
    </row>
    <row r="431" spans="1:14" ht="15">
      <c r="A431" s="364"/>
      <c r="B431" s="283"/>
      <c r="C431" s="234"/>
      <c r="D431" s="281"/>
      <c r="E431" s="178">
        <v>2017</v>
      </c>
      <c r="F431" s="7">
        <f t="shared" si="47"/>
        <v>4988.3</v>
      </c>
      <c r="G431" s="7"/>
      <c r="H431" s="7"/>
      <c r="I431" s="7">
        <f>1338.3+3116.8+533.2</f>
        <v>4988.3</v>
      </c>
      <c r="J431" s="14"/>
      <c r="K431" s="281"/>
      <c r="L431" s="99" t="s">
        <v>369</v>
      </c>
      <c r="M431" s="105"/>
      <c r="N431" s="106" t="s">
        <v>368</v>
      </c>
    </row>
    <row r="432" spans="1:14" ht="15">
      <c r="A432" s="364"/>
      <c r="B432" s="283"/>
      <c r="C432" s="234"/>
      <c r="D432" s="281"/>
      <c r="E432" s="178">
        <v>2018</v>
      </c>
      <c r="F432" s="7">
        <f t="shared" si="47"/>
        <v>4385.6000000000004</v>
      </c>
      <c r="G432" s="7"/>
      <c r="H432" s="7"/>
      <c r="I432" s="7">
        <v>4385.6000000000004</v>
      </c>
      <c r="J432" s="14"/>
      <c r="K432" s="281"/>
      <c r="L432" s="99"/>
      <c r="M432" s="105"/>
      <c r="N432" s="106"/>
    </row>
    <row r="433" spans="1:15" ht="15">
      <c r="A433" s="364"/>
      <c r="B433" s="283"/>
      <c r="C433" s="234"/>
      <c r="D433" s="281"/>
      <c r="E433" s="178">
        <v>2019</v>
      </c>
      <c r="F433" s="7">
        <f t="shared" ref="F433" si="48">SUM(G433:I433)</f>
        <v>0</v>
      </c>
      <c r="G433" s="7"/>
      <c r="H433" s="7"/>
      <c r="I433" s="7">
        <v>0</v>
      </c>
      <c r="J433" s="14"/>
      <c r="K433" s="281"/>
      <c r="L433" s="99"/>
      <c r="M433" s="105"/>
      <c r="N433" s="106"/>
    </row>
    <row r="434" spans="1:15" ht="15">
      <c r="A434" s="364"/>
      <c r="B434" s="283"/>
      <c r="C434" s="234"/>
      <c r="D434" s="281"/>
      <c r="E434" s="178">
        <v>2020</v>
      </c>
      <c r="F434" s="7">
        <f t="shared" si="47"/>
        <v>0</v>
      </c>
      <c r="G434" s="7"/>
      <c r="H434" s="7"/>
      <c r="I434" s="7">
        <v>0</v>
      </c>
      <c r="J434" s="14"/>
      <c r="K434" s="281"/>
    </row>
    <row r="435" spans="1:15" ht="29.25" customHeight="1">
      <c r="A435" s="364"/>
      <c r="B435" s="283"/>
      <c r="C435" s="234"/>
      <c r="D435" s="281"/>
      <c r="E435" s="18" t="s">
        <v>18</v>
      </c>
      <c r="F435" s="8">
        <f>SUM(F429:F434)</f>
        <v>12060.7</v>
      </c>
      <c r="G435" s="7"/>
      <c r="H435" s="7"/>
      <c r="I435" s="8">
        <f>SUM(I429:I434)</f>
        <v>12060.7</v>
      </c>
      <c r="J435" s="14"/>
      <c r="K435" s="281"/>
    </row>
    <row r="436" spans="1:15" ht="15">
      <c r="A436" s="236" t="s">
        <v>125</v>
      </c>
      <c r="B436" s="428" t="s">
        <v>223</v>
      </c>
      <c r="C436" s="225" t="s">
        <v>68</v>
      </c>
      <c r="D436" s="227" t="s">
        <v>218</v>
      </c>
      <c r="E436" s="178">
        <v>2015</v>
      </c>
      <c r="F436" s="7">
        <f>H436+I436</f>
        <v>260.60000000000002</v>
      </c>
      <c r="G436" s="7"/>
      <c r="H436" s="7">
        <v>230</v>
      </c>
      <c r="I436" s="7">
        <v>30.6</v>
      </c>
      <c r="J436" s="14"/>
      <c r="K436" s="227" t="s">
        <v>164</v>
      </c>
    </row>
    <row r="437" spans="1:15" ht="15">
      <c r="A437" s="237"/>
      <c r="B437" s="283"/>
      <c r="C437" s="229"/>
      <c r="D437" s="235"/>
      <c r="E437" s="178">
        <v>2016</v>
      </c>
      <c r="F437" s="144"/>
      <c r="G437" s="7"/>
      <c r="H437" s="7"/>
      <c r="I437" s="7"/>
      <c r="J437" s="14"/>
      <c r="K437" s="235"/>
    </row>
    <row r="438" spans="1:15" ht="15">
      <c r="A438" s="237"/>
      <c r="B438" s="283"/>
      <c r="C438" s="229"/>
      <c r="D438" s="235"/>
      <c r="E438" s="178">
        <v>2017</v>
      </c>
      <c r="F438" s="144"/>
      <c r="G438" s="7"/>
      <c r="H438" s="7"/>
      <c r="I438" s="7"/>
      <c r="J438" s="14"/>
      <c r="K438" s="235"/>
    </row>
    <row r="439" spans="1:15" ht="15">
      <c r="A439" s="237"/>
      <c r="B439" s="283"/>
      <c r="C439" s="229"/>
      <c r="D439" s="235"/>
      <c r="E439" s="178">
        <v>2018</v>
      </c>
      <c r="F439" s="144"/>
      <c r="G439" s="7"/>
      <c r="H439" s="7"/>
      <c r="I439" s="7"/>
      <c r="J439" s="14"/>
      <c r="K439" s="235"/>
    </row>
    <row r="440" spans="1:15" ht="15">
      <c r="A440" s="237"/>
      <c r="B440" s="283"/>
      <c r="C440" s="229"/>
      <c r="D440" s="235"/>
      <c r="E440" s="178">
        <v>2019</v>
      </c>
      <c r="F440" s="144"/>
      <c r="G440" s="7"/>
      <c r="H440" s="7"/>
      <c r="I440" s="7"/>
      <c r="J440" s="14"/>
      <c r="K440" s="235"/>
    </row>
    <row r="441" spans="1:15" ht="15">
      <c r="A441" s="237"/>
      <c r="B441" s="283"/>
      <c r="C441" s="229"/>
      <c r="D441" s="235"/>
      <c r="E441" s="178">
        <v>2020</v>
      </c>
      <c r="F441" s="144"/>
      <c r="G441" s="7"/>
      <c r="H441" s="7"/>
      <c r="I441" s="7"/>
      <c r="J441" s="14"/>
      <c r="K441" s="235"/>
    </row>
    <row r="442" spans="1:15" ht="15">
      <c r="A442" s="237"/>
      <c r="B442" s="283"/>
      <c r="C442" s="230"/>
      <c r="D442" s="228"/>
      <c r="E442" s="18" t="s">
        <v>18</v>
      </c>
      <c r="F442" s="8">
        <f>SUM(F436:F441)</f>
        <v>260.60000000000002</v>
      </c>
      <c r="G442" s="7"/>
      <c r="H442" s="8">
        <f>H441+H440+H439+H438+H436+H437</f>
        <v>230</v>
      </c>
      <c r="I442" s="8">
        <f>SUM(I436:I441)</f>
        <v>30.6</v>
      </c>
      <c r="J442" s="14"/>
      <c r="K442" s="228"/>
    </row>
    <row r="443" spans="1:15" ht="15" customHeight="1">
      <c r="A443" s="264" t="s">
        <v>298</v>
      </c>
      <c r="B443" s="242" t="s">
        <v>248</v>
      </c>
      <c r="C443" s="241" t="s">
        <v>224</v>
      </c>
      <c r="D443" s="235" t="s">
        <v>218</v>
      </c>
      <c r="E443" s="174">
        <v>2016</v>
      </c>
      <c r="F443" s="7">
        <f t="shared" ref="F443:F450" si="49">G443+H443+I443</f>
        <v>445</v>
      </c>
      <c r="G443" s="155"/>
      <c r="H443" s="155"/>
      <c r="I443" s="156">
        <v>445</v>
      </c>
      <c r="J443" s="91"/>
      <c r="K443" s="235" t="s">
        <v>140</v>
      </c>
    </row>
    <row r="444" spans="1:15" ht="12.75" customHeight="1">
      <c r="A444" s="264"/>
      <c r="B444" s="243"/>
      <c r="C444" s="241"/>
      <c r="D444" s="235"/>
      <c r="E444" s="178">
        <v>2017</v>
      </c>
      <c r="F444" s="7">
        <f t="shared" si="49"/>
        <v>480.6</v>
      </c>
      <c r="G444" s="9"/>
      <c r="H444" s="9"/>
      <c r="I444" s="10">
        <v>480.6</v>
      </c>
      <c r="J444" s="22"/>
      <c r="K444" s="235"/>
      <c r="L444" s="99"/>
      <c r="O444" s="99"/>
    </row>
    <row r="445" spans="1:15" ht="15" customHeight="1">
      <c r="A445" s="264"/>
      <c r="B445" s="243"/>
      <c r="C445" s="241"/>
      <c r="D445" s="235"/>
      <c r="E445" s="178">
        <v>2018</v>
      </c>
      <c r="F445" s="7">
        <f t="shared" si="49"/>
        <v>480.6</v>
      </c>
      <c r="G445" s="9"/>
      <c r="H445" s="9"/>
      <c r="I445" s="10">
        <v>480.6</v>
      </c>
      <c r="J445" s="22"/>
      <c r="K445" s="235"/>
      <c r="L445" s="99"/>
    </row>
    <row r="446" spans="1:15" ht="13.5" customHeight="1">
      <c r="A446" s="264"/>
      <c r="B446" s="243"/>
      <c r="C446" s="241"/>
      <c r="D446" s="235"/>
      <c r="E446" s="178">
        <v>2019</v>
      </c>
      <c r="F446" s="156">
        <f t="shared" si="49"/>
        <v>0</v>
      </c>
      <c r="G446" s="9"/>
      <c r="H446" s="9"/>
      <c r="I446" s="10">
        <v>0</v>
      </c>
      <c r="J446" s="22"/>
      <c r="K446" s="235"/>
      <c r="L446" s="99"/>
    </row>
    <row r="447" spans="1:15" ht="12.75" customHeight="1">
      <c r="A447" s="264"/>
      <c r="B447" s="243"/>
      <c r="C447" s="241"/>
      <c r="D447" s="235"/>
      <c r="E447" s="178">
        <v>2020</v>
      </c>
      <c r="F447" s="10">
        <f t="shared" si="49"/>
        <v>0</v>
      </c>
      <c r="G447" s="10"/>
      <c r="H447" s="10"/>
      <c r="I447" s="10">
        <v>0</v>
      </c>
      <c r="J447" s="22"/>
      <c r="K447" s="235"/>
    </row>
    <row r="448" spans="1:15" ht="21" customHeight="1">
      <c r="A448" s="427"/>
      <c r="B448" s="244"/>
      <c r="C448" s="226"/>
      <c r="D448" s="228"/>
      <c r="E448" s="26" t="s">
        <v>18</v>
      </c>
      <c r="F448" s="9">
        <f t="shared" si="49"/>
        <v>1406.2</v>
      </c>
      <c r="G448" s="9"/>
      <c r="H448" s="9"/>
      <c r="I448" s="9">
        <f>SUM(I443:I447)</f>
        <v>1406.2</v>
      </c>
      <c r="J448" s="22"/>
      <c r="K448" s="228"/>
    </row>
    <row r="449" spans="1:35" ht="15" customHeight="1">
      <c r="A449" s="264" t="s">
        <v>299</v>
      </c>
      <c r="B449" s="242" t="s">
        <v>269</v>
      </c>
      <c r="C449" s="241" t="s">
        <v>224</v>
      </c>
      <c r="D449" s="235" t="s">
        <v>218</v>
      </c>
      <c r="E449" s="178">
        <v>2017</v>
      </c>
      <c r="F449" s="7">
        <f t="shared" si="49"/>
        <v>1169.2</v>
      </c>
      <c r="G449" s="8"/>
      <c r="H449" s="8"/>
      <c r="I449" s="7">
        <v>1169.2</v>
      </c>
      <c r="J449" s="14"/>
      <c r="K449" s="235" t="s">
        <v>270</v>
      </c>
      <c r="L449" s="99"/>
    </row>
    <row r="450" spans="1:35" ht="52.5" customHeight="1" thickBot="1">
      <c r="A450" s="427"/>
      <c r="B450" s="244"/>
      <c r="C450" s="226"/>
      <c r="D450" s="228"/>
      <c r="E450" s="26" t="s">
        <v>18</v>
      </c>
      <c r="F450" s="9">
        <f t="shared" si="49"/>
        <v>1169.2</v>
      </c>
      <c r="G450" s="9"/>
      <c r="H450" s="9"/>
      <c r="I450" s="9">
        <f>SUM(I449:I449)</f>
        <v>1169.2</v>
      </c>
      <c r="J450" s="22"/>
      <c r="K450" s="228"/>
    </row>
    <row r="451" spans="1:35" ht="13.5" customHeight="1" thickBot="1">
      <c r="A451" s="505" t="s">
        <v>184</v>
      </c>
      <c r="B451" s="506"/>
      <c r="C451" s="506"/>
      <c r="D451" s="507"/>
      <c r="E451" s="6" t="s">
        <v>61</v>
      </c>
      <c r="F451" s="147">
        <f>SUM(G451:J451)</f>
        <v>287463.8</v>
      </c>
      <c r="G451" s="148">
        <f>G413+G421+G428+G435</f>
        <v>0</v>
      </c>
      <c r="H451" s="147">
        <f>H413+H421+H428+H435+H404+H442+H448+H450</f>
        <v>230</v>
      </c>
      <c r="I451" s="147">
        <f>I413+I421+I428+I435+I404+I442+I448+I450</f>
        <v>287233.8</v>
      </c>
      <c r="J451" s="147">
        <f>J413+J421+J428+J435+J404</f>
        <v>0</v>
      </c>
      <c r="K451" s="6"/>
      <c r="L451" s="129"/>
      <c r="M451" s="130"/>
      <c r="N451" s="65"/>
    </row>
    <row r="452" spans="1:35" ht="32.25" customHeight="1" thickBot="1">
      <c r="A452" s="238" t="s">
        <v>73</v>
      </c>
      <c r="B452" s="232"/>
      <c r="C452" s="232"/>
      <c r="D452" s="232"/>
      <c r="E452" s="232"/>
      <c r="F452" s="232"/>
      <c r="G452" s="232"/>
      <c r="H452" s="232"/>
      <c r="I452" s="232"/>
      <c r="J452" s="232"/>
      <c r="K452" s="232"/>
      <c r="L452" s="66"/>
      <c r="M452" s="66"/>
      <c r="N452" s="66"/>
      <c r="O452" s="66"/>
      <c r="P452" s="66"/>
      <c r="Q452" s="66"/>
      <c r="R452" s="66"/>
      <c r="S452" s="66"/>
      <c r="T452" s="66"/>
      <c r="U452" s="66"/>
      <c r="V452" s="66"/>
      <c r="W452" s="66"/>
      <c r="X452" s="66"/>
      <c r="Y452" s="66"/>
      <c r="Z452" s="66"/>
      <c r="AA452" s="66"/>
      <c r="AB452" s="66"/>
      <c r="AC452" s="66"/>
      <c r="AD452" s="66"/>
      <c r="AE452" s="66"/>
      <c r="AF452" s="66"/>
      <c r="AG452" s="66"/>
      <c r="AH452" s="66"/>
      <c r="AI452" s="67"/>
    </row>
    <row r="453" spans="1:35" ht="17.25" customHeight="1" thickBot="1">
      <c r="A453" s="239" t="s">
        <v>74</v>
      </c>
      <c r="B453" s="240"/>
      <c r="C453" s="240"/>
      <c r="D453" s="240"/>
      <c r="E453" s="240"/>
      <c r="F453" s="240"/>
      <c r="G453" s="240"/>
      <c r="H453" s="240"/>
      <c r="I453" s="240"/>
      <c r="J453" s="240"/>
      <c r="K453" s="240"/>
      <c r="L453" s="63"/>
      <c r="M453" s="63"/>
      <c r="N453" s="63"/>
      <c r="O453" s="63"/>
      <c r="P453" s="63"/>
      <c r="Q453" s="63"/>
      <c r="R453" s="63"/>
      <c r="S453" s="63"/>
      <c r="T453" s="63"/>
      <c r="U453" s="63"/>
      <c r="V453" s="63"/>
      <c r="W453" s="63"/>
      <c r="X453" s="63"/>
      <c r="Y453" s="63"/>
      <c r="Z453" s="63"/>
      <c r="AA453" s="63"/>
      <c r="AB453" s="63"/>
      <c r="AC453" s="63"/>
      <c r="AD453" s="63"/>
      <c r="AE453" s="63"/>
      <c r="AF453" s="63"/>
      <c r="AG453" s="63"/>
      <c r="AH453" s="63"/>
      <c r="AI453" s="64"/>
    </row>
    <row r="454" spans="1:35" ht="12.75" customHeight="1">
      <c r="A454" s="424" t="s">
        <v>93</v>
      </c>
      <c r="B454" s="421" t="s">
        <v>165</v>
      </c>
      <c r="C454" s="225" t="s">
        <v>68</v>
      </c>
      <c r="D454" s="227" t="s">
        <v>218</v>
      </c>
      <c r="E454" s="178">
        <v>2015</v>
      </c>
      <c r="F454" s="157">
        <f t="shared" ref="F454:F459" si="50">SUM(G454:I454)</f>
        <v>25</v>
      </c>
      <c r="G454" s="7"/>
      <c r="H454" s="7"/>
      <c r="I454" s="7">
        <v>25</v>
      </c>
      <c r="J454" s="14"/>
      <c r="K454" s="227" t="s">
        <v>167</v>
      </c>
    </row>
    <row r="455" spans="1:35" ht="15">
      <c r="A455" s="425"/>
      <c r="B455" s="422"/>
      <c r="C455" s="229"/>
      <c r="D455" s="229"/>
      <c r="E455" s="178">
        <v>2016</v>
      </c>
      <c r="F455" s="157">
        <f t="shared" si="50"/>
        <v>23.6</v>
      </c>
      <c r="G455" s="7"/>
      <c r="H455" s="7"/>
      <c r="I455" s="7">
        <f>26.3-2.7</f>
        <v>23.6</v>
      </c>
      <c r="J455" s="14"/>
      <c r="K455" s="235"/>
    </row>
    <row r="456" spans="1:35" ht="15">
      <c r="A456" s="425"/>
      <c r="B456" s="422"/>
      <c r="C456" s="229"/>
      <c r="D456" s="229"/>
      <c r="E456" s="178">
        <v>2017</v>
      </c>
      <c r="F456" s="157">
        <f t="shared" si="50"/>
        <v>27</v>
      </c>
      <c r="G456" s="7"/>
      <c r="H456" s="7"/>
      <c r="I456" s="7">
        <v>27</v>
      </c>
      <c r="J456" s="14"/>
      <c r="K456" s="235"/>
      <c r="L456" s="99"/>
    </row>
    <row r="457" spans="1:35" ht="15">
      <c r="A457" s="425"/>
      <c r="B457" s="422"/>
      <c r="C457" s="229"/>
      <c r="D457" s="229"/>
      <c r="E457" s="178">
        <v>2018</v>
      </c>
      <c r="F457" s="157">
        <f t="shared" si="50"/>
        <v>27.9</v>
      </c>
      <c r="G457" s="7"/>
      <c r="H457" s="7"/>
      <c r="I457" s="7">
        <v>27.9</v>
      </c>
      <c r="J457" s="14"/>
      <c r="K457" s="235"/>
      <c r="L457" s="99"/>
    </row>
    <row r="458" spans="1:35" ht="15">
      <c r="A458" s="425"/>
      <c r="B458" s="422"/>
      <c r="C458" s="229"/>
      <c r="D458" s="229"/>
      <c r="E458" s="178">
        <v>2019</v>
      </c>
      <c r="F458" s="157">
        <f t="shared" si="50"/>
        <v>0</v>
      </c>
      <c r="G458" s="7"/>
      <c r="H458" s="7"/>
      <c r="I458" s="7">
        <v>0</v>
      </c>
      <c r="J458" s="14"/>
      <c r="K458" s="235"/>
      <c r="L458" s="99"/>
    </row>
    <row r="459" spans="1:35" ht="15">
      <c r="A459" s="425"/>
      <c r="B459" s="422"/>
      <c r="C459" s="229"/>
      <c r="D459" s="229"/>
      <c r="E459" s="178">
        <v>2020</v>
      </c>
      <c r="F459" s="157">
        <f t="shared" si="50"/>
        <v>0</v>
      </c>
      <c r="G459" s="8"/>
      <c r="H459" s="8"/>
      <c r="I459" s="7">
        <v>0</v>
      </c>
      <c r="J459" s="13"/>
      <c r="K459" s="235"/>
    </row>
    <row r="460" spans="1:35" ht="14.25">
      <c r="A460" s="426"/>
      <c r="B460" s="423"/>
      <c r="C460" s="229"/>
      <c r="D460" s="230"/>
      <c r="E460" s="18" t="s">
        <v>18</v>
      </c>
      <c r="F460" s="141">
        <f>SUM(F454:F459)</f>
        <v>103.5</v>
      </c>
      <c r="G460" s="8"/>
      <c r="H460" s="8"/>
      <c r="I460" s="8">
        <f>SUM(I454:I459)</f>
        <v>103.5</v>
      </c>
      <c r="J460" s="13"/>
      <c r="K460" s="235"/>
    </row>
    <row r="461" spans="1:35" ht="15">
      <c r="A461" s="424" t="s">
        <v>67</v>
      </c>
      <c r="B461" s="421" t="s">
        <v>229</v>
      </c>
      <c r="C461" s="233" t="s">
        <v>68</v>
      </c>
      <c r="D461" s="227" t="s">
        <v>218</v>
      </c>
      <c r="E461" s="178">
        <v>2015</v>
      </c>
      <c r="F461" s="157">
        <f t="shared" ref="F461:F466" si="51">SUM(G461:I461)</f>
        <v>15</v>
      </c>
      <c r="G461" s="7"/>
      <c r="H461" s="7"/>
      <c r="I461" s="7">
        <v>15</v>
      </c>
      <c r="J461" s="14"/>
      <c r="K461" s="235"/>
    </row>
    <row r="462" spans="1:35" ht="15">
      <c r="A462" s="425"/>
      <c r="B462" s="422"/>
      <c r="C462" s="234"/>
      <c r="D462" s="229"/>
      <c r="E462" s="178">
        <v>2016</v>
      </c>
      <c r="F462" s="157">
        <f t="shared" si="51"/>
        <v>15</v>
      </c>
      <c r="G462" s="7"/>
      <c r="H462" s="7"/>
      <c r="I462" s="7">
        <f>16-1</f>
        <v>15</v>
      </c>
      <c r="J462" s="14"/>
      <c r="K462" s="235"/>
    </row>
    <row r="463" spans="1:35" ht="15">
      <c r="A463" s="425"/>
      <c r="B463" s="422"/>
      <c r="C463" s="234"/>
      <c r="D463" s="229"/>
      <c r="E463" s="178">
        <v>2017</v>
      </c>
      <c r="F463" s="157">
        <f t="shared" si="51"/>
        <v>16</v>
      </c>
      <c r="G463" s="7"/>
      <c r="H463" s="7"/>
      <c r="I463" s="7">
        <v>16</v>
      </c>
      <c r="J463" s="14"/>
      <c r="K463" s="235"/>
      <c r="L463" s="99"/>
    </row>
    <row r="464" spans="1:35" ht="15">
      <c r="A464" s="425"/>
      <c r="B464" s="422"/>
      <c r="C464" s="234"/>
      <c r="D464" s="229"/>
      <c r="E464" s="178">
        <v>2018</v>
      </c>
      <c r="F464" s="157">
        <f t="shared" si="51"/>
        <v>19.5</v>
      </c>
      <c r="G464" s="7"/>
      <c r="H464" s="7"/>
      <c r="I464" s="7">
        <v>19.5</v>
      </c>
      <c r="J464" s="14"/>
      <c r="K464" s="235"/>
      <c r="L464" s="99"/>
    </row>
    <row r="465" spans="1:13" ht="15">
      <c r="A465" s="425"/>
      <c r="B465" s="422"/>
      <c r="C465" s="234"/>
      <c r="D465" s="229"/>
      <c r="E465" s="178">
        <v>2019</v>
      </c>
      <c r="F465" s="157">
        <f t="shared" si="51"/>
        <v>0</v>
      </c>
      <c r="G465" s="7"/>
      <c r="H465" s="7"/>
      <c r="I465" s="7">
        <v>0</v>
      </c>
      <c r="J465" s="14"/>
      <c r="K465" s="235"/>
      <c r="L465" s="99"/>
    </row>
    <row r="466" spans="1:13" ht="15">
      <c r="A466" s="425"/>
      <c r="B466" s="422"/>
      <c r="C466" s="234"/>
      <c r="D466" s="229"/>
      <c r="E466" s="178">
        <v>2020</v>
      </c>
      <c r="F466" s="157">
        <f t="shared" si="51"/>
        <v>0</v>
      </c>
      <c r="G466" s="8"/>
      <c r="H466" s="8"/>
      <c r="I466" s="7">
        <v>0</v>
      </c>
      <c r="J466" s="13"/>
      <c r="K466" s="235"/>
    </row>
    <row r="467" spans="1:13" ht="14.25">
      <c r="A467" s="426"/>
      <c r="B467" s="423"/>
      <c r="C467" s="234"/>
      <c r="D467" s="230"/>
      <c r="E467" s="18" t="s">
        <v>18</v>
      </c>
      <c r="F467" s="141">
        <f>SUM(F461:F466)</f>
        <v>65.5</v>
      </c>
      <c r="G467" s="8"/>
      <c r="H467" s="8"/>
      <c r="I467" s="8">
        <f>SUM(I461:I466)</f>
        <v>65.5</v>
      </c>
      <c r="J467" s="13"/>
      <c r="K467" s="228"/>
    </row>
    <row r="468" spans="1:13" ht="14.25">
      <c r="A468" s="238" t="s">
        <v>75</v>
      </c>
      <c r="B468" s="232"/>
      <c r="C468" s="420"/>
      <c r="D468" s="232"/>
      <c r="E468" s="232"/>
      <c r="F468" s="232"/>
      <c r="G468" s="232"/>
      <c r="H468" s="232"/>
      <c r="I468" s="232"/>
      <c r="J468" s="232"/>
      <c r="K468" s="232"/>
    </row>
    <row r="469" spans="1:13" ht="15">
      <c r="A469" s="416" t="s">
        <v>43</v>
      </c>
      <c r="B469" s="419" t="s">
        <v>134</v>
      </c>
      <c r="C469" s="225" t="s">
        <v>68</v>
      </c>
      <c r="D469" s="227" t="s">
        <v>218</v>
      </c>
      <c r="E469" s="178">
        <v>2015</v>
      </c>
      <c r="F469" s="157">
        <f t="shared" ref="F469:F474" si="52">SUM(G469:I469)</f>
        <v>10</v>
      </c>
      <c r="G469" s="7"/>
      <c r="H469" s="7"/>
      <c r="I469" s="7">
        <v>10</v>
      </c>
      <c r="J469" s="14"/>
      <c r="K469" s="227" t="s">
        <v>166</v>
      </c>
    </row>
    <row r="470" spans="1:13" ht="15">
      <c r="A470" s="417"/>
      <c r="B470" s="339"/>
      <c r="C470" s="229"/>
      <c r="D470" s="229"/>
      <c r="E470" s="178">
        <v>2016</v>
      </c>
      <c r="F470" s="157">
        <f t="shared" si="52"/>
        <v>7.7</v>
      </c>
      <c r="G470" s="7"/>
      <c r="H470" s="7"/>
      <c r="I470" s="7">
        <f>11-3.3</f>
        <v>7.7</v>
      </c>
      <c r="J470" s="14"/>
      <c r="K470" s="235"/>
      <c r="L470" s="99"/>
    </row>
    <row r="471" spans="1:13" ht="15">
      <c r="A471" s="417"/>
      <c r="B471" s="339"/>
      <c r="C471" s="229"/>
      <c r="D471" s="229"/>
      <c r="E471" s="178">
        <v>2017</v>
      </c>
      <c r="F471" s="157">
        <f t="shared" si="52"/>
        <v>8.6999999999999993</v>
      </c>
      <c r="G471" s="7"/>
      <c r="H471" s="7"/>
      <c r="I471" s="7">
        <v>8.6999999999999993</v>
      </c>
      <c r="J471" s="14"/>
      <c r="K471" s="235"/>
      <c r="L471" s="99"/>
    </row>
    <row r="472" spans="1:13" ht="15">
      <c r="A472" s="417"/>
      <c r="B472" s="339"/>
      <c r="C472" s="229"/>
      <c r="D472" s="229"/>
      <c r="E472" s="178">
        <v>2018</v>
      </c>
      <c r="F472" s="157">
        <f t="shared" si="52"/>
        <v>13</v>
      </c>
      <c r="G472" s="7"/>
      <c r="H472" s="7"/>
      <c r="I472" s="7">
        <v>13</v>
      </c>
      <c r="J472" s="14"/>
      <c r="K472" s="235"/>
      <c r="L472" s="99"/>
    </row>
    <row r="473" spans="1:13" ht="15">
      <c r="A473" s="417"/>
      <c r="B473" s="339"/>
      <c r="C473" s="229"/>
      <c r="D473" s="229"/>
      <c r="E473" s="178">
        <v>2019</v>
      </c>
      <c r="F473" s="157">
        <f t="shared" si="52"/>
        <v>0</v>
      </c>
      <c r="G473" s="7"/>
      <c r="H473" s="7"/>
      <c r="I473" s="7">
        <v>0</v>
      </c>
      <c r="J473" s="14"/>
      <c r="K473" s="235"/>
      <c r="L473" s="99"/>
    </row>
    <row r="474" spans="1:13" ht="15">
      <c r="A474" s="417"/>
      <c r="B474" s="339"/>
      <c r="C474" s="229"/>
      <c r="D474" s="229"/>
      <c r="E474" s="178">
        <v>2020</v>
      </c>
      <c r="F474" s="157">
        <f t="shared" si="52"/>
        <v>0</v>
      </c>
      <c r="G474" s="7"/>
      <c r="H474" s="7"/>
      <c r="I474" s="7">
        <v>0</v>
      </c>
      <c r="J474" s="14"/>
      <c r="K474" s="235"/>
    </row>
    <row r="475" spans="1:13" ht="18" customHeight="1" thickBot="1">
      <c r="A475" s="418"/>
      <c r="B475" s="326"/>
      <c r="C475" s="229"/>
      <c r="D475" s="229"/>
      <c r="E475" s="26" t="s">
        <v>18</v>
      </c>
      <c r="F475" s="147">
        <f>SUM(F469:F474)</f>
        <v>39.4</v>
      </c>
      <c r="G475" s="9"/>
      <c r="H475" s="9"/>
      <c r="I475" s="9">
        <f>SUM(I469:I474)</f>
        <v>39.4</v>
      </c>
      <c r="J475" s="22"/>
      <c r="K475" s="235"/>
      <c r="L475" s="126"/>
      <c r="M475" s="127"/>
    </row>
    <row r="476" spans="1:13" ht="18" customHeight="1" thickBot="1">
      <c r="A476" s="345" t="s">
        <v>195</v>
      </c>
      <c r="B476" s="346"/>
      <c r="C476" s="346"/>
      <c r="D476" s="346"/>
      <c r="E476" s="93" t="s">
        <v>61</v>
      </c>
      <c r="F476" s="150">
        <f>F460+F475+F467</f>
        <v>208.4</v>
      </c>
      <c r="G476" s="150"/>
      <c r="H476" s="150">
        <f>H460+H475+H467</f>
        <v>0</v>
      </c>
      <c r="I476" s="150">
        <f>I460+I475+I467</f>
        <v>208.4</v>
      </c>
      <c r="J476" s="94"/>
      <c r="K476" s="95"/>
    </row>
    <row r="477" spans="1:13" ht="15" thickBot="1">
      <c r="A477" s="322" t="s">
        <v>196</v>
      </c>
      <c r="B477" s="323"/>
      <c r="C477" s="323"/>
      <c r="D477" s="323"/>
      <c r="E477" s="323"/>
      <c r="F477" s="323"/>
      <c r="G477" s="323"/>
      <c r="H477" s="323"/>
      <c r="I477" s="323"/>
      <c r="J477" s="323"/>
      <c r="K477" s="324"/>
    </row>
    <row r="478" spans="1:13" ht="14.25">
      <c r="A478" s="328" t="s">
        <v>76</v>
      </c>
      <c r="B478" s="329"/>
      <c r="C478" s="329"/>
      <c r="D478" s="329"/>
      <c r="E478" s="330"/>
      <c r="F478" s="330"/>
      <c r="G478" s="330"/>
      <c r="H478" s="330"/>
      <c r="I478" s="330"/>
      <c r="J478" s="330"/>
      <c r="K478" s="331"/>
    </row>
    <row r="479" spans="1:13" ht="15">
      <c r="A479" s="332" t="s">
        <v>77</v>
      </c>
      <c r="B479" s="231" t="s">
        <v>78</v>
      </c>
      <c r="C479" s="225" t="s">
        <v>68</v>
      </c>
      <c r="D479" s="227" t="s">
        <v>218</v>
      </c>
      <c r="E479" s="178">
        <v>2015</v>
      </c>
      <c r="F479" s="157">
        <f t="shared" ref="F479:F484" si="53">SUM(G479:I479)</f>
        <v>50</v>
      </c>
      <c r="G479" s="7"/>
      <c r="H479" s="7"/>
      <c r="I479" s="7">
        <v>50</v>
      </c>
      <c r="J479" s="14"/>
      <c r="K479" s="227" t="s">
        <v>169</v>
      </c>
    </row>
    <row r="480" spans="1:13" ht="15">
      <c r="A480" s="333"/>
      <c r="B480" s="232"/>
      <c r="C480" s="229"/>
      <c r="D480" s="229"/>
      <c r="E480" s="178">
        <v>2016</v>
      </c>
      <c r="F480" s="157">
        <f t="shared" si="53"/>
        <v>83</v>
      </c>
      <c r="G480" s="7"/>
      <c r="H480" s="7"/>
      <c r="I480" s="7">
        <f>60+23</f>
        <v>83</v>
      </c>
      <c r="J480" s="14"/>
      <c r="K480" s="235"/>
      <c r="L480" s="99"/>
    </row>
    <row r="481" spans="1:12" ht="15">
      <c r="A481" s="333"/>
      <c r="B481" s="232"/>
      <c r="C481" s="229"/>
      <c r="D481" s="229"/>
      <c r="E481" s="178">
        <v>2017</v>
      </c>
      <c r="F481" s="157">
        <f t="shared" si="53"/>
        <v>70</v>
      </c>
      <c r="G481" s="7"/>
      <c r="H481" s="7"/>
      <c r="I481" s="7">
        <v>70</v>
      </c>
      <c r="J481" s="14"/>
      <c r="K481" s="235"/>
      <c r="L481" s="99"/>
    </row>
    <row r="482" spans="1:12" ht="15">
      <c r="A482" s="333"/>
      <c r="B482" s="232"/>
      <c r="C482" s="229"/>
      <c r="D482" s="229"/>
      <c r="E482" s="178">
        <v>2018</v>
      </c>
      <c r="F482" s="157">
        <f t="shared" si="53"/>
        <v>96.2</v>
      </c>
      <c r="G482" s="7"/>
      <c r="H482" s="7"/>
      <c r="I482" s="7">
        <v>96.2</v>
      </c>
      <c r="J482" s="14"/>
      <c r="K482" s="235"/>
      <c r="L482" s="99"/>
    </row>
    <row r="483" spans="1:12" ht="15">
      <c r="A483" s="333"/>
      <c r="B483" s="232"/>
      <c r="C483" s="229"/>
      <c r="D483" s="229"/>
      <c r="E483" s="178">
        <v>2019</v>
      </c>
      <c r="F483" s="157">
        <f t="shared" si="53"/>
        <v>40</v>
      </c>
      <c r="G483" s="7"/>
      <c r="H483" s="7"/>
      <c r="I483" s="7">
        <v>40</v>
      </c>
      <c r="J483" s="14"/>
      <c r="K483" s="235"/>
      <c r="L483" s="99"/>
    </row>
    <row r="484" spans="1:12" ht="15">
      <c r="A484" s="333"/>
      <c r="B484" s="232"/>
      <c r="C484" s="229"/>
      <c r="D484" s="229"/>
      <c r="E484" s="178">
        <v>2020</v>
      </c>
      <c r="F484" s="157">
        <f t="shared" si="53"/>
        <v>20</v>
      </c>
      <c r="G484" s="7"/>
      <c r="H484" s="7"/>
      <c r="I484" s="7">
        <v>20</v>
      </c>
      <c r="J484" s="14"/>
      <c r="K484" s="235"/>
    </row>
    <row r="485" spans="1:12" ht="14.25">
      <c r="A485" s="333"/>
      <c r="B485" s="240"/>
      <c r="C485" s="229"/>
      <c r="D485" s="230"/>
      <c r="E485" s="26" t="s">
        <v>18</v>
      </c>
      <c r="F485" s="141">
        <f>SUM(F479:F484)</f>
        <v>359.2</v>
      </c>
      <c r="G485" s="8"/>
      <c r="H485" s="8"/>
      <c r="I485" s="8">
        <f>SUM(I479:I484)</f>
        <v>359.2</v>
      </c>
      <c r="J485" s="14"/>
      <c r="K485" s="235"/>
    </row>
    <row r="486" spans="1:12" ht="15">
      <c r="A486" s="332" t="s">
        <v>79</v>
      </c>
      <c r="B486" s="231" t="s">
        <v>80</v>
      </c>
      <c r="C486" s="233" t="s">
        <v>68</v>
      </c>
      <c r="D486" s="227" t="s">
        <v>218</v>
      </c>
      <c r="E486" s="178">
        <v>2015</v>
      </c>
      <c r="F486" s="158">
        <f t="shared" ref="F486:F491" si="54">SUM(G486:I486)</f>
        <v>150</v>
      </c>
      <c r="G486" s="7"/>
      <c r="H486" s="7"/>
      <c r="I486" s="7">
        <v>150</v>
      </c>
      <c r="J486" s="14"/>
      <c r="K486" s="235"/>
    </row>
    <row r="487" spans="1:12" ht="15">
      <c r="A487" s="333"/>
      <c r="B487" s="231"/>
      <c r="C487" s="234"/>
      <c r="D487" s="229"/>
      <c r="E487" s="178">
        <v>2016</v>
      </c>
      <c r="F487" s="158">
        <f t="shared" si="54"/>
        <v>180</v>
      </c>
      <c r="G487" s="7"/>
      <c r="H487" s="7"/>
      <c r="I487" s="7">
        <v>180</v>
      </c>
      <c r="J487" s="14"/>
      <c r="K487" s="235"/>
    </row>
    <row r="488" spans="1:12" ht="15">
      <c r="A488" s="333"/>
      <c r="B488" s="231"/>
      <c r="C488" s="234"/>
      <c r="D488" s="229"/>
      <c r="E488" s="178">
        <v>2017</v>
      </c>
      <c r="F488" s="158">
        <f t="shared" si="54"/>
        <v>0</v>
      </c>
      <c r="G488" s="7"/>
      <c r="H488" s="7"/>
      <c r="I488" s="7">
        <v>0</v>
      </c>
      <c r="J488" s="14"/>
      <c r="K488" s="235"/>
      <c r="L488" s="99"/>
    </row>
    <row r="489" spans="1:12" ht="15">
      <c r="A489" s="333"/>
      <c r="B489" s="231"/>
      <c r="C489" s="234"/>
      <c r="D489" s="229"/>
      <c r="E489" s="178">
        <v>2018</v>
      </c>
      <c r="F489" s="158">
        <f t="shared" si="54"/>
        <v>0</v>
      </c>
      <c r="G489" s="7"/>
      <c r="H489" s="7"/>
      <c r="I489" s="7">
        <v>0</v>
      </c>
      <c r="J489" s="14"/>
      <c r="K489" s="235"/>
      <c r="L489" s="99"/>
    </row>
    <row r="490" spans="1:12" ht="15">
      <c r="A490" s="333"/>
      <c r="B490" s="231"/>
      <c r="C490" s="234"/>
      <c r="D490" s="229"/>
      <c r="E490" s="178">
        <v>2019</v>
      </c>
      <c r="F490" s="158">
        <f t="shared" si="54"/>
        <v>0</v>
      </c>
      <c r="G490" s="7"/>
      <c r="H490" s="7"/>
      <c r="I490" s="7">
        <v>0</v>
      </c>
      <c r="J490" s="14"/>
      <c r="K490" s="235"/>
      <c r="L490" s="99"/>
    </row>
    <row r="491" spans="1:12" ht="15">
      <c r="A491" s="333"/>
      <c r="B491" s="231"/>
      <c r="C491" s="234"/>
      <c r="D491" s="229"/>
      <c r="E491" s="178">
        <v>2020</v>
      </c>
      <c r="F491" s="158">
        <f t="shared" si="54"/>
        <v>0</v>
      </c>
      <c r="G491" s="7"/>
      <c r="H491" s="7"/>
      <c r="I491" s="7">
        <v>0</v>
      </c>
      <c r="J491" s="14"/>
      <c r="K491" s="235"/>
    </row>
    <row r="492" spans="1:12" ht="32.25" customHeight="1">
      <c r="A492" s="333"/>
      <c r="B492" s="240"/>
      <c r="C492" s="234"/>
      <c r="D492" s="230"/>
      <c r="E492" s="18" t="s">
        <v>18</v>
      </c>
      <c r="F492" s="159">
        <f>SUM(F486:F491)</f>
        <v>330</v>
      </c>
      <c r="G492" s="8"/>
      <c r="H492" s="8"/>
      <c r="I492" s="8">
        <f>SUM(I486:I491)</f>
        <v>330</v>
      </c>
      <c r="J492" s="14"/>
      <c r="K492" s="235"/>
    </row>
    <row r="493" spans="1:12" ht="15">
      <c r="A493" s="332" t="s">
        <v>81</v>
      </c>
      <c r="B493" s="231" t="s">
        <v>168</v>
      </c>
      <c r="C493" s="241" t="s">
        <v>68</v>
      </c>
      <c r="D493" s="227" t="s">
        <v>218</v>
      </c>
      <c r="E493" s="178">
        <v>2015</v>
      </c>
      <c r="F493" s="158">
        <f t="shared" ref="F493:F498" si="55">SUM(G493:I493)</f>
        <v>55</v>
      </c>
      <c r="G493" s="7"/>
      <c r="H493" s="7"/>
      <c r="I493" s="7">
        <v>55</v>
      </c>
      <c r="J493" s="14"/>
      <c r="K493" s="235"/>
    </row>
    <row r="494" spans="1:12" ht="15">
      <c r="A494" s="333"/>
      <c r="B494" s="231"/>
      <c r="C494" s="229"/>
      <c r="D494" s="229"/>
      <c r="E494" s="178">
        <v>2016</v>
      </c>
      <c r="F494" s="158">
        <f t="shared" si="55"/>
        <v>57.4</v>
      </c>
      <c r="G494" s="7"/>
      <c r="H494" s="7"/>
      <c r="I494" s="7">
        <f>60-2.6</f>
        <v>57.4</v>
      </c>
      <c r="J494" s="14"/>
      <c r="K494" s="235"/>
      <c r="L494" s="99"/>
    </row>
    <row r="495" spans="1:12" ht="15">
      <c r="A495" s="333"/>
      <c r="B495" s="231"/>
      <c r="C495" s="229"/>
      <c r="D495" s="229"/>
      <c r="E495" s="178">
        <v>2017</v>
      </c>
      <c r="F495" s="158">
        <f t="shared" si="55"/>
        <v>65</v>
      </c>
      <c r="G495" s="7"/>
      <c r="H495" s="7"/>
      <c r="I495" s="7">
        <v>65</v>
      </c>
      <c r="J495" s="14"/>
      <c r="K495" s="235"/>
      <c r="L495" s="99"/>
    </row>
    <row r="496" spans="1:12" ht="15">
      <c r="A496" s="333"/>
      <c r="B496" s="231"/>
      <c r="C496" s="229"/>
      <c r="D496" s="229"/>
      <c r="E496" s="178">
        <v>2018</v>
      </c>
      <c r="F496" s="158">
        <f t="shared" si="55"/>
        <v>70</v>
      </c>
      <c r="G496" s="7"/>
      <c r="H496" s="7"/>
      <c r="I496" s="7">
        <v>70</v>
      </c>
      <c r="J496" s="14"/>
      <c r="K496" s="235"/>
      <c r="L496" s="99"/>
    </row>
    <row r="497" spans="1:13" ht="15">
      <c r="A497" s="333"/>
      <c r="B497" s="231"/>
      <c r="C497" s="229"/>
      <c r="D497" s="229"/>
      <c r="E497" s="178">
        <v>2019</v>
      </c>
      <c r="F497" s="158">
        <f t="shared" si="55"/>
        <v>45</v>
      </c>
      <c r="G497" s="7"/>
      <c r="H497" s="7"/>
      <c r="I497" s="7">
        <v>45</v>
      </c>
      <c r="J497" s="14"/>
      <c r="K497" s="235"/>
      <c r="L497" s="99"/>
    </row>
    <row r="498" spans="1:13" ht="15">
      <c r="A498" s="333"/>
      <c r="B498" s="231"/>
      <c r="C498" s="229"/>
      <c r="D498" s="229"/>
      <c r="E498" s="178">
        <v>2020</v>
      </c>
      <c r="F498" s="158">
        <f t="shared" si="55"/>
        <v>20</v>
      </c>
      <c r="G498" s="7"/>
      <c r="H498" s="7"/>
      <c r="I498" s="7">
        <v>20</v>
      </c>
      <c r="J498" s="14"/>
      <c r="K498" s="235"/>
    </row>
    <row r="499" spans="1:13" ht="14.25">
      <c r="A499" s="333"/>
      <c r="B499" s="242"/>
      <c r="C499" s="229"/>
      <c r="D499" s="230"/>
      <c r="E499" s="18" t="s">
        <v>18</v>
      </c>
      <c r="F499" s="160">
        <f>SUM(F493:F498)</f>
        <v>312.39999999999998</v>
      </c>
      <c r="G499" s="8"/>
      <c r="H499" s="8"/>
      <c r="I499" s="8">
        <f>SUM(I493:I498)</f>
        <v>312.39999999999998</v>
      </c>
      <c r="J499" s="14"/>
      <c r="K499" s="228"/>
    </row>
    <row r="500" spans="1:13" ht="15">
      <c r="A500" s="332" t="s">
        <v>82</v>
      </c>
      <c r="B500" s="231" t="s">
        <v>83</v>
      </c>
      <c r="C500" s="233" t="s">
        <v>68</v>
      </c>
      <c r="D500" s="227" t="s">
        <v>218</v>
      </c>
      <c r="E500" s="178">
        <v>2015</v>
      </c>
      <c r="F500" s="158">
        <f t="shared" ref="F500:F505" si="56">SUM(G500:I500)</f>
        <v>50</v>
      </c>
      <c r="G500" s="7"/>
      <c r="H500" s="7"/>
      <c r="I500" s="7">
        <v>50</v>
      </c>
      <c r="J500" s="14"/>
      <c r="K500" s="227" t="s">
        <v>170</v>
      </c>
    </row>
    <row r="501" spans="1:13" ht="15">
      <c r="A501" s="333"/>
      <c r="B501" s="232"/>
      <c r="C501" s="234"/>
      <c r="D501" s="229"/>
      <c r="E501" s="178">
        <v>2016</v>
      </c>
      <c r="F501" s="158">
        <f t="shared" si="56"/>
        <v>32</v>
      </c>
      <c r="G501" s="7"/>
      <c r="H501" s="7"/>
      <c r="I501" s="7">
        <f>55-23</f>
        <v>32</v>
      </c>
      <c r="J501" s="14"/>
      <c r="K501" s="235"/>
      <c r="L501" s="99"/>
    </row>
    <row r="502" spans="1:13" ht="15">
      <c r="A502" s="333"/>
      <c r="B502" s="232"/>
      <c r="C502" s="234"/>
      <c r="D502" s="229"/>
      <c r="E502" s="178">
        <v>2017</v>
      </c>
      <c r="F502" s="158">
        <f t="shared" si="56"/>
        <v>41.4</v>
      </c>
      <c r="G502" s="7"/>
      <c r="H502" s="7"/>
      <c r="I502" s="7">
        <v>41.4</v>
      </c>
      <c r="J502" s="14"/>
      <c r="K502" s="235"/>
      <c r="L502" s="99"/>
    </row>
    <row r="503" spans="1:13" ht="15">
      <c r="A503" s="333"/>
      <c r="B503" s="232"/>
      <c r="C503" s="234"/>
      <c r="D503" s="229"/>
      <c r="E503" s="178">
        <v>2018</v>
      </c>
      <c r="F503" s="158">
        <f t="shared" si="56"/>
        <v>65</v>
      </c>
      <c r="G503" s="7"/>
      <c r="H503" s="7"/>
      <c r="I503" s="7">
        <v>65</v>
      </c>
      <c r="J503" s="14"/>
      <c r="K503" s="235"/>
      <c r="L503" s="99"/>
    </row>
    <row r="504" spans="1:13" ht="15">
      <c r="A504" s="333"/>
      <c r="B504" s="232"/>
      <c r="C504" s="234"/>
      <c r="D504" s="229"/>
      <c r="E504" s="178">
        <v>2019</v>
      </c>
      <c r="F504" s="158">
        <f t="shared" si="56"/>
        <v>50</v>
      </c>
      <c r="G504" s="7"/>
      <c r="H504" s="7"/>
      <c r="I504" s="7">
        <v>50</v>
      </c>
      <c r="J504" s="14"/>
      <c r="K504" s="235"/>
      <c r="L504" s="99"/>
    </row>
    <row r="505" spans="1:13" ht="15">
      <c r="A505" s="333"/>
      <c r="B505" s="232"/>
      <c r="C505" s="234"/>
      <c r="D505" s="229"/>
      <c r="E505" s="178">
        <v>2020</v>
      </c>
      <c r="F505" s="158">
        <f t="shared" si="56"/>
        <v>15</v>
      </c>
      <c r="G505" s="7"/>
      <c r="H505" s="7"/>
      <c r="I505" s="7">
        <v>15</v>
      </c>
      <c r="J505" s="14"/>
      <c r="K505" s="235"/>
    </row>
    <row r="506" spans="1:13" ht="15">
      <c r="A506" s="333"/>
      <c r="B506" s="232"/>
      <c r="C506" s="234"/>
      <c r="D506" s="230"/>
      <c r="E506" s="18" t="s">
        <v>18</v>
      </c>
      <c r="F506" s="160">
        <f>SUM(F500:F505)</f>
        <v>253.4</v>
      </c>
      <c r="G506" s="7"/>
      <c r="H506" s="7"/>
      <c r="I506" s="8">
        <f>SUM(I500:I505)</f>
        <v>253.4</v>
      </c>
      <c r="J506" s="14"/>
      <c r="K506" s="228"/>
    </row>
    <row r="507" spans="1:13" ht="16.5" customHeight="1" thickBot="1">
      <c r="A507" s="325" t="s">
        <v>197</v>
      </c>
      <c r="B507" s="326"/>
      <c r="C507" s="327"/>
      <c r="D507" s="326"/>
      <c r="E507" s="6" t="s">
        <v>61</v>
      </c>
      <c r="F507" s="147">
        <f>F485+F492+F499+F506</f>
        <v>1255</v>
      </c>
      <c r="G507" s="147"/>
      <c r="H507" s="147">
        <f>H485+H492+H499+H506</f>
        <v>0</v>
      </c>
      <c r="I507" s="147">
        <f>I485+I492+I499+I506</f>
        <v>1255</v>
      </c>
      <c r="J507" s="17"/>
      <c r="K507" s="6"/>
      <c r="L507" s="126"/>
      <c r="M507" s="127"/>
    </row>
    <row r="508" spans="1:13" ht="15" thickBot="1">
      <c r="A508" s="322" t="s">
        <v>198</v>
      </c>
      <c r="B508" s="323"/>
      <c r="C508" s="323"/>
      <c r="D508" s="323"/>
      <c r="E508" s="323"/>
      <c r="F508" s="323"/>
      <c r="G508" s="323"/>
      <c r="H508" s="323"/>
      <c r="I508" s="323"/>
      <c r="J508" s="323"/>
      <c r="K508" s="324"/>
    </row>
    <row r="509" spans="1:13" ht="14.25">
      <c r="A509" s="328" t="s">
        <v>84</v>
      </c>
      <c r="B509" s="329"/>
      <c r="C509" s="329"/>
      <c r="D509" s="329"/>
      <c r="E509" s="330"/>
      <c r="F509" s="330"/>
      <c r="G509" s="330"/>
      <c r="H509" s="330"/>
      <c r="I509" s="330"/>
      <c r="J509" s="330"/>
      <c r="K509" s="331"/>
    </row>
    <row r="510" spans="1:13" ht="12.75" customHeight="1">
      <c r="A510" s="334" t="s">
        <v>99</v>
      </c>
      <c r="B510" s="249" t="s">
        <v>85</v>
      </c>
      <c r="C510" s="225" t="s">
        <v>68</v>
      </c>
      <c r="D510" s="227" t="s">
        <v>218</v>
      </c>
      <c r="E510" s="178">
        <v>2015</v>
      </c>
      <c r="F510" s="158">
        <f t="shared" ref="F510:F515" si="57">SUM(G510:I510)</f>
        <v>3623.3</v>
      </c>
      <c r="G510" s="7"/>
      <c r="H510" s="7">
        <f>3817-230</f>
        <v>3587</v>
      </c>
      <c r="I510" s="7">
        <f>38.6-2.3</f>
        <v>36.300000000000004</v>
      </c>
      <c r="J510" s="14"/>
      <c r="K510" s="227" t="s">
        <v>171</v>
      </c>
    </row>
    <row r="511" spans="1:13" ht="15">
      <c r="A511" s="335"/>
      <c r="B511" s="337"/>
      <c r="C511" s="229"/>
      <c r="D511" s="229"/>
      <c r="E511" s="178">
        <v>2016</v>
      </c>
      <c r="F511" s="158">
        <f t="shared" si="57"/>
        <v>27.8</v>
      </c>
      <c r="G511" s="7"/>
      <c r="H511" s="7">
        <v>0</v>
      </c>
      <c r="I511" s="7">
        <v>27.8</v>
      </c>
      <c r="J511" s="14"/>
      <c r="K511" s="235"/>
    </row>
    <row r="512" spans="1:13" ht="15">
      <c r="A512" s="335"/>
      <c r="B512" s="337"/>
      <c r="C512" s="229"/>
      <c r="D512" s="229"/>
      <c r="E512" s="178">
        <v>2017</v>
      </c>
      <c r="F512" s="158">
        <f t="shared" si="57"/>
        <v>0</v>
      </c>
      <c r="G512" s="7"/>
      <c r="H512" s="7">
        <v>0</v>
      </c>
      <c r="I512" s="7">
        <v>0</v>
      </c>
      <c r="J512" s="14"/>
      <c r="K512" s="235"/>
      <c r="L512" s="99"/>
    </row>
    <row r="513" spans="1:35" ht="15">
      <c r="A513" s="335"/>
      <c r="B513" s="337"/>
      <c r="C513" s="229"/>
      <c r="D513" s="229"/>
      <c r="E513" s="178">
        <v>2018</v>
      </c>
      <c r="F513" s="158">
        <f t="shared" si="57"/>
        <v>0</v>
      </c>
      <c r="G513" s="7"/>
      <c r="H513" s="7">
        <f>1605-1605</f>
        <v>0</v>
      </c>
      <c r="I513" s="7">
        <v>0</v>
      </c>
      <c r="J513" s="14"/>
      <c r="K513" s="235"/>
      <c r="L513" s="99"/>
    </row>
    <row r="514" spans="1:35" ht="15">
      <c r="A514" s="335"/>
      <c r="B514" s="337"/>
      <c r="C514" s="229"/>
      <c r="D514" s="229"/>
      <c r="E514" s="178">
        <v>2019</v>
      </c>
      <c r="F514" s="158">
        <f t="shared" si="57"/>
        <v>0</v>
      </c>
      <c r="G514" s="7"/>
      <c r="H514" s="7">
        <f>1469-1469</f>
        <v>0</v>
      </c>
      <c r="I514" s="7">
        <v>0</v>
      </c>
      <c r="J514" s="14"/>
      <c r="K514" s="235"/>
      <c r="L514" s="99"/>
    </row>
    <row r="515" spans="1:35" ht="15">
      <c r="A515" s="335"/>
      <c r="B515" s="337"/>
      <c r="C515" s="229"/>
      <c r="D515" s="229"/>
      <c r="E515" s="178">
        <v>2020</v>
      </c>
      <c r="F515" s="158">
        <f t="shared" si="57"/>
        <v>0</v>
      </c>
      <c r="G515" s="7"/>
      <c r="H515" s="7">
        <v>0</v>
      </c>
      <c r="I515" s="7">
        <v>0</v>
      </c>
      <c r="J515" s="14"/>
      <c r="K515" s="235"/>
    </row>
    <row r="516" spans="1:35" ht="15" thickBot="1">
      <c r="A516" s="336"/>
      <c r="B516" s="337"/>
      <c r="C516" s="338"/>
      <c r="D516" s="230"/>
      <c r="E516" s="18" t="s">
        <v>18</v>
      </c>
      <c r="F516" s="160">
        <f>SUM(F510:F515)</f>
        <v>3651.1000000000004</v>
      </c>
      <c r="G516" s="8"/>
      <c r="H516" s="8">
        <f>SUM(H510:H515)</f>
        <v>3587</v>
      </c>
      <c r="I516" s="8">
        <f>SUM(I510:I515)</f>
        <v>64.100000000000009</v>
      </c>
      <c r="J516" s="14"/>
      <c r="K516" s="228"/>
    </row>
    <row r="517" spans="1:35" ht="15.75" customHeight="1" thickBot="1">
      <c r="A517" s="325" t="s">
        <v>199</v>
      </c>
      <c r="B517" s="326"/>
      <c r="C517" s="326"/>
      <c r="D517" s="326"/>
      <c r="E517" s="136" t="s">
        <v>61</v>
      </c>
      <c r="F517" s="159">
        <f>SUM(F510:F515)</f>
        <v>3651.1000000000004</v>
      </c>
      <c r="G517" s="148"/>
      <c r="H517" s="8">
        <f>SUM(H510:H515)</f>
        <v>3587</v>
      </c>
      <c r="I517" s="8">
        <f>SUM(I510:I515)</f>
        <v>64.100000000000009</v>
      </c>
      <c r="J517" s="17"/>
      <c r="K517" s="6"/>
      <c r="L517" s="127"/>
      <c r="M517" s="127"/>
    </row>
    <row r="518" spans="1:35" ht="14.25">
      <c r="A518" s="407" t="s">
        <v>317</v>
      </c>
      <c r="B518" s="408"/>
      <c r="C518" s="408"/>
      <c r="D518" s="408"/>
      <c r="E518" s="408"/>
      <c r="F518" s="408"/>
      <c r="G518" s="408"/>
      <c r="H518" s="408"/>
      <c r="I518" s="408"/>
      <c r="J518" s="408"/>
      <c r="K518" s="409"/>
    </row>
    <row r="519" spans="1:35" ht="12.75" customHeight="1">
      <c r="A519" s="350" t="s">
        <v>156</v>
      </c>
      <c r="B519" s="249" t="s">
        <v>319</v>
      </c>
      <c r="C519" s="233" t="s">
        <v>318</v>
      </c>
      <c r="D519" s="281" t="s">
        <v>320</v>
      </c>
      <c r="E519" s="178">
        <v>2017</v>
      </c>
      <c r="F519" s="157">
        <f t="shared" ref="F519:F522" si="58">SUM(G519:I519)</f>
        <v>112768.40000000001</v>
      </c>
      <c r="G519" s="7"/>
      <c r="H519" s="7">
        <f>117683.6-4915.2</f>
        <v>112768.40000000001</v>
      </c>
      <c r="I519" s="7">
        <v>0</v>
      </c>
      <c r="J519" s="14"/>
      <c r="K519" s="413" t="s">
        <v>399</v>
      </c>
      <c r="L519" s="99" t="s">
        <v>354</v>
      </c>
    </row>
    <row r="520" spans="1:35" ht="15">
      <c r="A520" s="351"/>
      <c r="B520" s="337"/>
      <c r="C520" s="234"/>
      <c r="D520" s="234"/>
      <c r="E520" s="178">
        <v>2018</v>
      </c>
      <c r="F520" s="157">
        <f t="shared" si="58"/>
        <v>122021</v>
      </c>
      <c r="G520" s="7"/>
      <c r="H520" s="7">
        <v>122021</v>
      </c>
      <c r="I520" s="7">
        <v>0</v>
      </c>
      <c r="J520" s="14"/>
      <c r="K520" s="414"/>
    </row>
    <row r="521" spans="1:35" ht="15">
      <c r="A521" s="351"/>
      <c r="B521" s="337"/>
      <c r="C521" s="234"/>
      <c r="D521" s="234"/>
      <c r="E521" s="178">
        <v>2019</v>
      </c>
      <c r="F521" s="157">
        <f t="shared" si="58"/>
        <v>126586.3</v>
      </c>
      <c r="G521" s="7"/>
      <c r="H521" s="7">
        <v>126586.3</v>
      </c>
      <c r="I521" s="7">
        <f>27.6-27.6</f>
        <v>0</v>
      </c>
      <c r="J521" s="14"/>
      <c r="K521" s="414"/>
      <c r="L521" s="99"/>
    </row>
    <row r="522" spans="1:35" ht="15">
      <c r="A522" s="351"/>
      <c r="B522" s="337"/>
      <c r="C522" s="234"/>
      <c r="D522" s="234"/>
      <c r="E522" s="178">
        <v>2020</v>
      </c>
      <c r="F522" s="157">
        <f t="shared" si="58"/>
        <v>131138</v>
      </c>
      <c r="G522" s="7"/>
      <c r="H522" s="7">
        <v>131138</v>
      </c>
      <c r="I522" s="7">
        <v>0</v>
      </c>
      <c r="J522" s="14"/>
      <c r="K522" s="414"/>
    </row>
    <row r="523" spans="1:35" ht="14.25">
      <c r="A523" s="351"/>
      <c r="B523" s="337"/>
      <c r="C523" s="234"/>
      <c r="D523" s="234"/>
      <c r="E523" s="18" t="s">
        <v>18</v>
      </c>
      <c r="F523" s="141">
        <f>SUM(F519:F522)</f>
        <v>492513.7</v>
      </c>
      <c r="G523" s="8"/>
      <c r="H523" s="8">
        <f>SUM(H519:H522)</f>
        <v>492513.7</v>
      </c>
      <c r="I523" s="8">
        <f>SUM(I519:I522)</f>
        <v>0</v>
      </c>
      <c r="J523" s="14"/>
      <c r="K523" s="414"/>
    </row>
    <row r="524" spans="1:35" ht="16.5" customHeight="1" thickBot="1">
      <c r="A524" s="415" t="s">
        <v>221</v>
      </c>
      <c r="B524" s="327"/>
      <c r="C524" s="327"/>
      <c r="D524" s="327"/>
      <c r="E524" s="100" t="s">
        <v>313</v>
      </c>
      <c r="F524" s="197">
        <f>SUM(F519:F522)</f>
        <v>492513.7</v>
      </c>
      <c r="G524" s="192"/>
      <c r="H524" s="155">
        <f>SUM(H519:H522)</f>
        <v>492513.7</v>
      </c>
      <c r="I524" s="155">
        <f>SUM(I519:I522)</f>
        <v>0</v>
      </c>
      <c r="J524" s="193"/>
      <c r="K524" s="100"/>
      <c r="L524" s="126"/>
      <c r="M524" s="127"/>
    </row>
    <row r="525" spans="1:35" ht="48" customHeight="1" thickBot="1">
      <c r="A525" s="520" t="s">
        <v>201</v>
      </c>
      <c r="B525" s="521"/>
      <c r="C525" s="521"/>
      <c r="D525" s="522"/>
      <c r="E525" s="198" t="s">
        <v>61</v>
      </c>
      <c r="F525" s="198" t="s">
        <v>18</v>
      </c>
      <c r="G525" s="199" t="s">
        <v>10</v>
      </c>
      <c r="H525" s="200" t="s">
        <v>11</v>
      </c>
      <c r="I525" s="200" t="s">
        <v>12</v>
      </c>
      <c r="J525" s="200" t="s">
        <v>13</v>
      </c>
      <c r="K525" s="201"/>
      <c r="L525" s="131"/>
      <c r="M525" s="132"/>
      <c r="N525" s="68"/>
    </row>
    <row r="526" spans="1:35" ht="16.5" thickBot="1">
      <c r="A526" s="523"/>
      <c r="B526" s="524"/>
      <c r="C526" s="524"/>
      <c r="D526" s="525"/>
      <c r="E526" s="194"/>
      <c r="F526" s="150">
        <f>SUM(G526:J526)</f>
        <v>785092</v>
      </c>
      <c r="G526" s="195"/>
      <c r="H526" s="196">
        <f>H517+H507+H476+H451+H404+H524</f>
        <v>496330.7</v>
      </c>
      <c r="I526" s="196">
        <f t="shared" ref="I526:J526" si="59">I517+I507+I476+I451+I404+I524</f>
        <v>288761.3</v>
      </c>
      <c r="J526" s="196">
        <f t="shared" si="59"/>
        <v>0</v>
      </c>
      <c r="K526" s="103"/>
      <c r="L526" s="36"/>
      <c r="M526" s="36"/>
      <c r="N526" s="36"/>
    </row>
    <row r="527" spans="1:35" ht="18.75" customHeight="1" thickBot="1">
      <c r="A527" s="410" t="s">
        <v>202</v>
      </c>
      <c r="B527" s="411"/>
      <c r="C527" s="411"/>
      <c r="D527" s="411"/>
      <c r="E527" s="411"/>
      <c r="F527" s="411"/>
      <c r="G527" s="411"/>
      <c r="H527" s="411"/>
      <c r="I527" s="411"/>
      <c r="J527" s="411"/>
      <c r="K527" s="412"/>
      <c r="L527" s="69"/>
      <c r="M527" s="69"/>
      <c r="N527" s="69"/>
    </row>
    <row r="528" spans="1:35" ht="30" customHeight="1">
      <c r="A528" s="238" t="s">
        <v>203</v>
      </c>
      <c r="B528" s="240"/>
      <c r="C528" s="240"/>
      <c r="D528" s="240"/>
      <c r="E528" s="232"/>
      <c r="F528" s="232"/>
      <c r="G528" s="232"/>
      <c r="H528" s="232"/>
      <c r="I528" s="232"/>
      <c r="J528" s="232"/>
      <c r="K528" s="232"/>
      <c r="L528" s="70"/>
      <c r="M528" s="70"/>
      <c r="N528" s="70"/>
      <c r="O528" s="70"/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  <c r="AA528" s="70"/>
      <c r="AB528" s="70"/>
      <c r="AC528" s="70"/>
      <c r="AD528" s="70"/>
      <c r="AE528" s="70"/>
      <c r="AF528" s="70"/>
      <c r="AG528" s="70"/>
      <c r="AH528" s="70"/>
      <c r="AI528" s="71"/>
    </row>
    <row r="529" spans="1:13" ht="15">
      <c r="A529" s="236" t="s">
        <v>103</v>
      </c>
      <c r="B529" s="340" t="s">
        <v>86</v>
      </c>
      <c r="C529" s="225" t="s">
        <v>68</v>
      </c>
      <c r="D529" s="227" t="s">
        <v>218</v>
      </c>
      <c r="E529" s="178">
        <v>2015</v>
      </c>
      <c r="F529" s="158">
        <f t="shared" ref="F529:F534" si="60">SUM(G529:J529)</f>
        <v>1923.3999999999999</v>
      </c>
      <c r="G529" s="7"/>
      <c r="H529" s="7">
        <f>2020.6-97.2</f>
        <v>1923.3999999999999</v>
      </c>
      <c r="I529" s="14"/>
      <c r="J529" s="14"/>
      <c r="K529" s="227" t="s">
        <v>172</v>
      </c>
    </row>
    <row r="530" spans="1:13" ht="15">
      <c r="A530" s="237"/>
      <c r="B530" s="306"/>
      <c r="C530" s="229"/>
      <c r="D530" s="229"/>
      <c r="E530" s="178">
        <v>2016</v>
      </c>
      <c r="F530" s="158">
        <f t="shared" si="60"/>
        <v>2072.6</v>
      </c>
      <c r="G530" s="7"/>
      <c r="H530" s="7">
        <f>2072.6</f>
        <v>2072.6</v>
      </c>
      <c r="I530" s="14"/>
      <c r="J530" s="14"/>
      <c r="K530" s="235"/>
      <c r="L530" s="99"/>
    </row>
    <row r="531" spans="1:13" ht="15">
      <c r="A531" s="237"/>
      <c r="B531" s="306"/>
      <c r="C531" s="229"/>
      <c r="D531" s="229"/>
      <c r="E531" s="178">
        <v>2017</v>
      </c>
      <c r="F531" s="158">
        <f t="shared" si="60"/>
        <v>1468.9</v>
      </c>
      <c r="G531" s="7"/>
      <c r="H531" s="7">
        <f>1919.7-116.3-334.5</f>
        <v>1468.9</v>
      </c>
      <c r="I531" s="14"/>
      <c r="J531" s="14"/>
      <c r="K531" s="235"/>
      <c r="L531" s="99" t="s">
        <v>349</v>
      </c>
      <c r="M531" s="106"/>
    </row>
    <row r="532" spans="1:13" ht="15">
      <c r="A532" s="237"/>
      <c r="B532" s="306"/>
      <c r="C532" s="229"/>
      <c r="D532" s="229"/>
      <c r="E532" s="178">
        <v>2018</v>
      </c>
      <c r="F532" s="158">
        <f t="shared" si="60"/>
        <v>1342.6</v>
      </c>
      <c r="G532" s="7"/>
      <c r="H532" s="7">
        <v>1342.6</v>
      </c>
      <c r="I532" s="14"/>
      <c r="J532" s="14"/>
      <c r="K532" s="235"/>
      <c r="L532" s="99"/>
      <c r="M532" s="106"/>
    </row>
    <row r="533" spans="1:13" ht="15">
      <c r="A533" s="237"/>
      <c r="B533" s="306"/>
      <c r="C533" s="229"/>
      <c r="D533" s="229"/>
      <c r="E533" s="178">
        <v>2019</v>
      </c>
      <c r="F533" s="158">
        <f t="shared" si="60"/>
        <v>1342.6</v>
      </c>
      <c r="G533" s="7"/>
      <c r="H533" s="7">
        <v>1342.6</v>
      </c>
      <c r="I533" s="14"/>
      <c r="J533" s="14"/>
      <c r="K533" s="235"/>
      <c r="L533" s="99"/>
      <c r="M533" s="106"/>
    </row>
    <row r="534" spans="1:13" ht="15">
      <c r="A534" s="237"/>
      <c r="B534" s="306"/>
      <c r="C534" s="229"/>
      <c r="D534" s="229"/>
      <c r="E534" s="178">
        <v>2020</v>
      </c>
      <c r="F534" s="158">
        <f t="shared" si="60"/>
        <v>1342.6</v>
      </c>
      <c r="G534" s="7"/>
      <c r="H534" s="7">
        <v>1342.6</v>
      </c>
      <c r="I534" s="14"/>
      <c r="J534" s="14"/>
      <c r="K534" s="235"/>
    </row>
    <row r="535" spans="1:13" ht="18.75" customHeight="1">
      <c r="A535" s="237"/>
      <c r="B535" s="306"/>
      <c r="C535" s="230"/>
      <c r="D535" s="230"/>
      <c r="E535" s="18" t="s">
        <v>18</v>
      </c>
      <c r="F535" s="159">
        <f>SUM(F529:F534)</f>
        <v>9492.7000000000007</v>
      </c>
      <c r="G535" s="8"/>
      <c r="H535" s="8">
        <f>SUM(H529:H534)</f>
        <v>9492.7000000000007</v>
      </c>
      <c r="I535" s="14"/>
      <c r="J535" s="14"/>
      <c r="K535" s="235"/>
    </row>
    <row r="536" spans="1:13" ht="15">
      <c r="A536" s="236" t="s">
        <v>105</v>
      </c>
      <c r="B536" s="249" t="s">
        <v>87</v>
      </c>
      <c r="C536" s="225" t="s">
        <v>68</v>
      </c>
      <c r="D536" s="227" t="s">
        <v>218</v>
      </c>
      <c r="E536" s="178">
        <v>2015</v>
      </c>
      <c r="F536" s="158">
        <f t="shared" ref="F536:F541" si="61">SUM(G536:J536)</f>
        <v>759.90000000000009</v>
      </c>
      <c r="G536" s="7"/>
      <c r="H536" s="7">
        <f>783-27.3+4.2</f>
        <v>759.90000000000009</v>
      </c>
      <c r="I536" s="7"/>
      <c r="J536" s="14"/>
      <c r="K536" s="235"/>
    </row>
    <row r="537" spans="1:13" ht="15">
      <c r="A537" s="237"/>
      <c r="B537" s="339"/>
      <c r="C537" s="229"/>
      <c r="D537" s="229"/>
      <c r="E537" s="178">
        <v>2016</v>
      </c>
      <c r="F537" s="158">
        <f t="shared" si="61"/>
        <v>753.4</v>
      </c>
      <c r="G537" s="7"/>
      <c r="H537" s="7">
        <f>753.4</f>
        <v>753.4</v>
      </c>
      <c r="I537" s="7"/>
      <c r="J537" s="14"/>
      <c r="K537" s="235"/>
      <c r="L537" s="99"/>
    </row>
    <row r="538" spans="1:13" ht="15">
      <c r="A538" s="237"/>
      <c r="B538" s="339"/>
      <c r="C538" s="229"/>
      <c r="D538" s="229"/>
      <c r="E538" s="178">
        <v>2017</v>
      </c>
      <c r="F538" s="158">
        <f t="shared" si="61"/>
        <v>425.09999999999997</v>
      </c>
      <c r="G538" s="7"/>
      <c r="H538" s="7">
        <f>671.9-162.8-84</f>
        <v>425.09999999999997</v>
      </c>
      <c r="I538" s="7"/>
      <c r="J538" s="14"/>
      <c r="K538" s="235"/>
      <c r="L538" s="118" t="s">
        <v>350</v>
      </c>
      <c r="M538" s="106"/>
    </row>
    <row r="539" spans="1:13" ht="15">
      <c r="A539" s="237"/>
      <c r="B539" s="339"/>
      <c r="C539" s="229"/>
      <c r="D539" s="229"/>
      <c r="E539" s="178">
        <v>2018</v>
      </c>
      <c r="F539" s="158">
        <f t="shared" si="61"/>
        <v>476.5</v>
      </c>
      <c r="G539" s="7"/>
      <c r="H539" s="7">
        <v>476.5</v>
      </c>
      <c r="I539" s="7"/>
      <c r="J539" s="14"/>
      <c r="K539" s="235"/>
      <c r="L539" s="99"/>
      <c r="M539" s="106"/>
    </row>
    <row r="540" spans="1:13" ht="15">
      <c r="A540" s="237"/>
      <c r="B540" s="339"/>
      <c r="C540" s="229"/>
      <c r="D540" s="229"/>
      <c r="E540" s="178">
        <v>2019</v>
      </c>
      <c r="F540" s="158">
        <f t="shared" si="61"/>
        <v>495.6</v>
      </c>
      <c r="G540" s="7"/>
      <c r="H540" s="7">
        <v>495.6</v>
      </c>
      <c r="I540" s="7"/>
      <c r="J540" s="14"/>
      <c r="K540" s="235"/>
      <c r="L540" s="99"/>
      <c r="M540" s="106"/>
    </row>
    <row r="541" spans="1:13" ht="15">
      <c r="A541" s="237"/>
      <c r="B541" s="339"/>
      <c r="C541" s="229"/>
      <c r="D541" s="229"/>
      <c r="E541" s="178">
        <v>2020</v>
      </c>
      <c r="F541" s="158">
        <f t="shared" si="61"/>
        <v>515.4</v>
      </c>
      <c r="G541" s="7"/>
      <c r="H541" s="7">
        <v>515.4</v>
      </c>
      <c r="I541" s="7"/>
      <c r="J541" s="14"/>
      <c r="K541" s="235"/>
    </row>
    <row r="542" spans="1:13" ht="14.25">
      <c r="A542" s="237"/>
      <c r="B542" s="326"/>
      <c r="C542" s="229"/>
      <c r="D542" s="230"/>
      <c r="E542" s="18" t="s">
        <v>18</v>
      </c>
      <c r="F542" s="160">
        <f>SUM(F536:F541)</f>
        <v>3425.9</v>
      </c>
      <c r="G542" s="8"/>
      <c r="H542" s="8">
        <f>SUM(H536:H541)</f>
        <v>3425.9</v>
      </c>
      <c r="I542" s="8"/>
      <c r="J542" s="13"/>
      <c r="K542" s="235"/>
    </row>
    <row r="543" spans="1:13" ht="15">
      <c r="A543" s="236" t="s">
        <v>107</v>
      </c>
      <c r="B543" s="249" t="s">
        <v>88</v>
      </c>
      <c r="C543" s="225" t="s">
        <v>68</v>
      </c>
      <c r="D543" s="227" t="s">
        <v>218</v>
      </c>
      <c r="E543" s="178">
        <v>2015</v>
      </c>
      <c r="F543" s="158">
        <f t="shared" ref="F543:F548" si="62">SUM(G543:J543)</f>
        <v>285</v>
      </c>
      <c r="G543" s="7"/>
      <c r="H543" s="7"/>
      <c r="I543" s="7">
        <v>285</v>
      </c>
      <c r="J543" s="14"/>
      <c r="K543" s="235"/>
    </row>
    <row r="544" spans="1:13" ht="15">
      <c r="A544" s="237"/>
      <c r="B544" s="339"/>
      <c r="C544" s="229"/>
      <c r="D544" s="229"/>
      <c r="E544" s="178">
        <v>2016</v>
      </c>
      <c r="F544" s="158">
        <f t="shared" si="62"/>
        <v>229.59999999999997</v>
      </c>
      <c r="G544" s="7"/>
      <c r="H544" s="7"/>
      <c r="I544" s="7">
        <f>281.4-51.8</f>
        <v>229.59999999999997</v>
      </c>
      <c r="J544" s="14"/>
      <c r="K544" s="235"/>
      <c r="L544" s="99"/>
    </row>
    <row r="545" spans="1:35" ht="15">
      <c r="A545" s="237"/>
      <c r="B545" s="339"/>
      <c r="C545" s="229"/>
      <c r="D545" s="229"/>
      <c r="E545" s="178">
        <v>2017</v>
      </c>
      <c r="F545" s="158">
        <f t="shared" si="62"/>
        <v>225.6</v>
      </c>
      <c r="G545" s="7"/>
      <c r="H545" s="7"/>
      <c r="I545" s="7">
        <v>225.6</v>
      </c>
      <c r="J545" s="14"/>
      <c r="K545" s="235"/>
      <c r="L545" s="99"/>
    </row>
    <row r="546" spans="1:35" ht="15">
      <c r="A546" s="237"/>
      <c r="B546" s="339"/>
      <c r="C546" s="229"/>
      <c r="D546" s="229"/>
      <c r="E546" s="178">
        <v>2018</v>
      </c>
      <c r="F546" s="158">
        <f t="shared" si="62"/>
        <v>220.6</v>
      </c>
      <c r="G546" s="7"/>
      <c r="H546" s="7"/>
      <c r="I546" s="7">
        <v>220.6</v>
      </c>
      <c r="J546" s="14"/>
      <c r="K546" s="235"/>
      <c r="L546" s="99"/>
    </row>
    <row r="547" spans="1:35" ht="15">
      <c r="A547" s="237"/>
      <c r="B547" s="339"/>
      <c r="C547" s="229"/>
      <c r="D547" s="229"/>
      <c r="E547" s="178">
        <v>2019</v>
      </c>
      <c r="F547" s="158">
        <f t="shared" si="62"/>
        <v>0</v>
      </c>
      <c r="G547" s="7"/>
      <c r="H547" s="7"/>
      <c r="I547" s="7">
        <v>0</v>
      </c>
      <c r="J547" s="14"/>
      <c r="K547" s="235"/>
    </row>
    <row r="548" spans="1:35" ht="15">
      <c r="A548" s="237"/>
      <c r="B548" s="339"/>
      <c r="C548" s="229"/>
      <c r="D548" s="229"/>
      <c r="E548" s="178">
        <v>2020</v>
      </c>
      <c r="F548" s="158">
        <f t="shared" si="62"/>
        <v>0</v>
      </c>
      <c r="G548" s="7"/>
      <c r="H548" s="7"/>
      <c r="I548" s="7">
        <v>0</v>
      </c>
      <c r="J548" s="14"/>
      <c r="K548" s="235"/>
    </row>
    <row r="549" spans="1:35" ht="60.75" customHeight="1">
      <c r="A549" s="237"/>
      <c r="B549" s="326"/>
      <c r="C549" s="229"/>
      <c r="D549" s="230"/>
      <c r="E549" s="18" t="s">
        <v>18</v>
      </c>
      <c r="F549" s="159">
        <f>SUM(F543:F548)</f>
        <v>960.8</v>
      </c>
      <c r="G549" s="8"/>
      <c r="H549" s="8"/>
      <c r="I549" s="8">
        <f>SUM(I543:I548)</f>
        <v>960.8</v>
      </c>
      <c r="J549" s="13"/>
      <c r="K549" s="235"/>
    </row>
    <row r="550" spans="1:35" ht="12.75" customHeight="1">
      <c r="A550" s="236" t="s">
        <v>108</v>
      </c>
      <c r="B550" s="231" t="s">
        <v>404</v>
      </c>
      <c r="C550" s="225" t="s">
        <v>68</v>
      </c>
      <c r="D550" s="227" t="s">
        <v>406</v>
      </c>
      <c r="E550" s="178">
        <v>2015</v>
      </c>
      <c r="F550" s="158">
        <f t="shared" ref="F550:F555" si="63">SUM(G550:I550)</f>
        <v>7143.2</v>
      </c>
      <c r="G550" s="7"/>
      <c r="H550" s="7">
        <f>7797.5+70.5-920.2-88.1</f>
        <v>6859.7</v>
      </c>
      <c r="I550" s="7">
        <v>283.5</v>
      </c>
      <c r="J550" s="14"/>
      <c r="K550" s="235"/>
    </row>
    <row r="551" spans="1:35" ht="15">
      <c r="A551" s="237"/>
      <c r="B551" s="232"/>
      <c r="C551" s="229"/>
      <c r="D551" s="235"/>
      <c r="E551" s="178">
        <v>2016</v>
      </c>
      <c r="F551" s="158">
        <f t="shared" si="63"/>
        <v>6232.8</v>
      </c>
      <c r="G551" s="7"/>
      <c r="H551" s="7">
        <f>9160.9-998.2-2081</f>
        <v>6081.7</v>
      </c>
      <c r="I551" s="7">
        <f>296.8-145.7</f>
        <v>151.10000000000002</v>
      </c>
      <c r="J551" s="14"/>
      <c r="K551" s="235"/>
      <c r="L551" s="99"/>
      <c r="P551" s="99" t="s">
        <v>351</v>
      </c>
      <c r="S551" s="99" t="s">
        <v>353</v>
      </c>
    </row>
    <row r="552" spans="1:35" ht="15">
      <c r="A552" s="237"/>
      <c r="B552" s="232"/>
      <c r="C552" s="229"/>
      <c r="D552" s="235"/>
      <c r="E552" s="178">
        <v>2017</v>
      </c>
      <c r="F552" s="158">
        <f t="shared" si="63"/>
        <v>6749.2000000000007</v>
      </c>
      <c r="G552" s="7"/>
      <c r="H552" s="7">
        <f>7964.8-97.5-1311.7</f>
        <v>6555.6</v>
      </c>
      <c r="I552" s="7">
        <f>225.6-32</f>
        <v>193.6</v>
      </c>
      <c r="J552" s="14"/>
      <c r="K552" s="235"/>
      <c r="L552" s="99" t="s">
        <v>383</v>
      </c>
      <c r="M552" s="106"/>
      <c r="N552" s="106"/>
      <c r="O552" s="107">
        <f>H552-S552</f>
        <v>-1311.6999999999998</v>
      </c>
      <c r="P552" s="122">
        <f>7130.3+680.4</f>
        <v>7810.7</v>
      </c>
      <c r="Q552" s="121" t="s">
        <v>352</v>
      </c>
      <c r="R552" s="112">
        <v>56.6</v>
      </c>
      <c r="S552" s="123">
        <f>P552+R552</f>
        <v>7867.3</v>
      </c>
    </row>
    <row r="553" spans="1:35" ht="15">
      <c r="A553" s="237"/>
      <c r="B553" s="232"/>
      <c r="C553" s="229"/>
      <c r="D553" s="235"/>
      <c r="E553" s="178">
        <v>2018</v>
      </c>
      <c r="F553" s="158">
        <f t="shared" si="63"/>
        <v>8162.3</v>
      </c>
      <c r="G553" s="7"/>
      <c r="H553" s="7">
        <v>7889.6</v>
      </c>
      <c r="I553" s="7">
        <f>61+211.7</f>
        <v>272.7</v>
      </c>
      <c r="J553" s="14"/>
      <c r="K553" s="235"/>
      <c r="L553" s="99"/>
      <c r="M553" s="106"/>
      <c r="N553" s="106"/>
    </row>
    <row r="554" spans="1:35" ht="15">
      <c r="A554" s="237"/>
      <c r="B554" s="232"/>
      <c r="C554" s="229"/>
      <c r="D554" s="235"/>
      <c r="E554" s="178">
        <v>2019</v>
      </c>
      <c r="F554" s="158">
        <f t="shared" si="63"/>
        <v>8157.1</v>
      </c>
      <c r="G554" s="7"/>
      <c r="H554" s="7">
        <v>7889.6</v>
      </c>
      <c r="I554" s="7">
        <f>64.4+203.1</f>
        <v>267.5</v>
      </c>
      <c r="J554" s="14"/>
      <c r="K554" s="235"/>
      <c r="M554" s="106"/>
      <c r="N554" s="106"/>
    </row>
    <row r="555" spans="1:35" ht="15">
      <c r="A555" s="237"/>
      <c r="B555" s="232"/>
      <c r="C555" s="229"/>
      <c r="D555" s="235"/>
      <c r="E555" s="178">
        <v>2020</v>
      </c>
      <c r="F555" s="158">
        <f t="shared" si="63"/>
        <v>7889.6</v>
      </c>
      <c r="G555" s="7"/>
      <c r="H555" s="7">
        <v>7889.6</v>
      </c>
      <c r="I555" s="7">
        <v>0</v>
      </c>
      <c r="J555" s="14"/>
      <c r="K555" s="235"/>
    </row>
    <row r="556" spans="1:35" ht="35.25" customHeight="1" thickBot="1">
      <c r="A556" s="344"/>
      <c r="B556" s="240"/>
      <c r="C556" s="229"/>
      <c r="D556" s="235"/>
      <c r="E556" s="26" t="s">
        <v>18</v>
      </c>
      <c r="F556" s="202">
        <f>SUM(F550:F555)</f>
        <v>44334.2</v>
      </c>
      <c r="G556" s="9"/>
      <c r="H556" s="9">
        <f>SUM(H550:H555)</f>
        <v>43165.799999999996</v>
      </c>
      <c r="I556" s="9">
        <f>SUM(I550:I555)</f>
        <v>1168.4000000000001</v>
      </c>
      <c r="J556" s="22"/>
      <c r="K556" s="235"/>
    </row>
    <row r="557" spans="1:35" ht="18" customHeight="1" thickBot="1">
      <c r="A557" s="345" t="s">
        <v>204</v>
      </c>
      <c r="B557" s="346"/>
      <c r="C557" s="346"/>
      <c r="D557" s="346"/>
      <c r="E557" s="93" t="s">
        <v>61</v>
      </c>
      <c r="F557" s="150">
        <f>F535+F542+F549+F556</f>
        <v>58213.599999999999</v>
      </c>
      <c r="G557" s="150">
        <f>G535+G542+G549+G556</f>
        <v>0</v>
      </c>
      <c r="H557" s="150">
        <f>H535+H542+H549+H556</f>
        <v>56084.399999999994</v>
      </c>
      <c r="I557" s="150">
        <f>I535+I542+I549+I556</f>
        <v>2129.1999999999998</v>
      </c>
      <c r="J557" s="94"/>
      <c r="K557" s="95"/>
      <c r="L557" s="126"/>
      <c r="M557" s="127"/>
    </row>
    <row r="558" spans="1:35" ht="27" customHeight="1" thickBot="1">
      <c r="A558" s="322" t="s">
        <v>205</v>
      </c>
      <c r="B558" s="323"/>
      <c r="C558" s="323"/>
      <c r="D558" s="323"/>
      <c r="E558" s="323"/>
      <c r="F558" s="323"/>
      <c r="G558" s="323"/>
      <c r="H558" s="323"/>
      <c r="I558" s="323"/>
      <c r="J558" s="323"/>
      <c r="K558" s="324"/>
      <c r="L558" s="63"/>
      <c r="M558" s="63"/>
      <c r="N558" s="63"/>
      <c r="O558" s="63"/>
      <c r="P558" s="63"/>
      <c r="Q558" s="63"/>
      <c r="R558" s="63"/>
      <c r="S558" s="63"/>
      <c r="T558" s="63"/>
      <c r="U558" s="63"/>
      <c r="V558" s="63"/>
      <c r="W558" s="63"/>
      <c r="X558" s="63"/>
      <c r="Y558" s="63"/>
      <c r="Z558" s="63"/>
      <c r="AA558" s="63"/>
      <c r="AB558" s="63"/>
      <c r="AC558" s="63"/>
      <c r="AD558" s="63"/>
      <c r="AE558" s="63"/>
      <c r="AF558" s="63"/>
      <c r="AG558" s="63"/>
      <c r="AH558" s="63"/>
      <c r="AI558" s="64"/>
    </row>
    <row r="559" spans="1:35" ht="15" thickBot="1">
      <c r="A559" s="322" t="s">
        <v>206</v>
      </c>
      <c r="B559" s="323"/>
      <c r="C559" s="323"/>
      <c r="D559" s="323"/>
      <c r="E559" s="323"/>
      <c r="F559" s="323"/>
      <c r="G559" s="323"/>
      <c r="H559" s="323"/>
      <c r="I559" s="323"/>
      <c r="J559" s="323"/>
      <c r="K559" s="324"/>
    </row>
    <row r="560" spans="1:35" ht="15">
      <c r="A560" s="236" t="s">
        <v>64</v>
      </c>
      <c r="B560" s="231" t="s">
        <v>89</v>
      </c>
      <c r="C560" s="233" t="s">
        <v>61</v>
      </c>
      <c r="D560" s="341" t="s">
        <v>218</v>
      </c>
      <c r="E560" s="178">
        <v>2015</v>
      </c>
      <c r="F560" s="158">
        <f t="shared" ref="F560:F565" si="64">SUM(G560:I560)</f>
        <v>45</v>
      </c>
      <c r="G560" s="7"/>
      <c r="H560" s="7"/>
      <c r="I560" s="7">
        <v>45</v>
      </c>
      <c r="J560" s="14"/>
      <c r="K560" s="341" t="s">
        <v>173</v>
      </c>
    </row>
    <row r="561" spans="1:12" ht="15">
      <c r="A561" s="237"/>
      <c r="B561" s="232"/>
      <c r="C561" s="234"/>
      <c r="D561" s="229"/>
      <c r="E561" s="178">
        <v>2016</v>
      </c>
      <c r="F561" s="158">
        <f t="shared" si="64"/>
        <v>47</v>
      </c>
      <c r="G561" s="7"/>
      <c r="H561" s="7"/>
      <c r="I561" s="7">
        <v>47</v>
      </c>
      <c r="J561" s="14"/>
      <c r="K561" s="235"/>
    </row>
    <row r="562" spans="1:12" ht="15">
      <c r="A562" s="237"/>
      <c r="B562" s="232"/>
      <c r="C562" s="234"/>
      <c r="D562" s="229"/>
      <c r="E562" s="178">
        <v>2017</v>
      </c>
      <c r="F562" s="158">
        <f t="shared" si="64"/>
        <v>0</v>
      </c>
      <c r="G562" s="7"/>
      <c r="H562" s="7"/>
      <c r="I562" s="7">
        <f>42-42</f>
        <v>0</v>
      </c>
      <c r="J562" s="14"/>
      <c r="K562" s="235"/>
      <c r="L562" s="99"/>
    </row>
    <row r="563" spans="1:12" ht="15">
      <c r="A563" s="237"/>
      <c r="B563" s="232"/>
      <c r="C563" s="234"/>
      <c r="D563" s="229"/>
      <c r="E563" s="178">
        <v>2018</v>
      </c>
      <c r="F563" s="158">
        <f t="shared" si="64"/>
        <v>60</v>
      </c>
      <c r="G563" s="7"/>
      <c r="H563" s="7"/>
      <c r="I563" s="7">
        <f>51+9</f>
        <v>60</v>
      </c>
      <c r="J563" s="14"/>
      <c r="K563" s="235"/>
      <c r="L563" s="106"/>
    </row>
    <row r="564" spans="1:12" ht="15">
      <c r="A564" s="237"/>
      <c r="B564" s="232"/>
      <c r="C564" s="234"/>
      <c r="D564" s="229"/>
      <c r="E564" s="178">
        <v>2019</v>
      </c>
      <c r="F564" s="158">
        <f t="shared" si="64"/>
        <v>0</v>
      </c>
      <c r="G564" s="7"/>
      <c r="H564" s="7"/>
      <c r="I564" s="7">
        <v>0</v>
      </c>
      <c r="J564" s="14"/>
      <c r="K564" s="235"/>
      <c r="L564" s="99"/>
    </row>
    <row r="565" spans="1:12" ht="15">
      <c r="A565" s="237"/>
      <c r="B565" s="232"/>
      <c r="C565" s="234"/>
      <c r="D565" s="229"/>
      <c r="E565" s="178">
        <v>2020</v>
      </c>
      <c r="F565" s="158">
        <f t="shared" si="64"/>
        <v>0</v>
      </c>
      <c r="G565" s="7"/>
      <c r="H565" s="7"/>
      <c r="I565" s="7">
        <v>0</v>
      </c>
      <c r="J565" s="14"/>
      <c r="K565" s="235"/>
    </row>
    <row r="566" spans="1:12" ht="14.25">
      <c r="A566" s="237"/>
      <c r="B566" s="232"/>
      <c r="C566" s="234"/>
      <c r="D566" s="230"/>
      <c r="E566" s="18" t="s">
        <v>18</v>
      </c>
      <c r="F566" s="160">
        <f>SUM(F560:F565)</f>
        <v>152</v>
      </c>
      <c r="G566" s="8"/>
      <c r="H566" s="8"/>
      <c r="I566" s="8">
        <f>SUM(I560:I565)</f>
        <v>152</v>
      </c>
      <c r="J566" s="14"/>
      <c r="K566" s="228"/>
    </row>
    <row r="567" spans="1:12" ht="15">
      <c r="A567" s="342" t="s">
        <v>292</v>
      </c>
      <c r="B567" s="231" t="s">
        <v>90</v>
      </c>
      <c r="C567" s="233" t="s">
        <v>61</v>
      </c>
      <c r="D567" s="227" t="s">
        <v>218</v>
      </c>
      <c r="E567" s="178">
        <v>2015</v>
      </c>
      <c r="F567" s="158">
        <f t="shared" ref="F567:F572" si="65">I567</f>
        <v>12</v>
      </c>
      <c r="G567" s="7"/>
      <c r="H567" s="7"/>
      <c r="I567" s="7">
        <v>12</v>
      </c>
      <c r="J567" s="14"/>
      <c r="K567" s="227" t="s">
        <v>174</v>
      </c>
    </row>
    <row r="568" spans="1:12" ht="15">
      <c r="A568" s="343"/>
      <c r="B568" s="232"/>
      <c r="C568" s="234"/>
      <c r="D568" s="229"/>
      <c r="E568" s="178">
        <v>2016</v>
      </c>
      <c r="F568" s="158">
        <f t="shared" si="65"/>
        <v>12.5</v>
      </c>
      <c r="G568" s="7"/>
      <c r="H568" s="7"/>
      <c r="I568" s="7">
        <v>12.5</v>
      </c>
      <c r="J568" s="14"/>
      <c r="K568" s="235"/>
    </row>
    <row r="569" spans="1:12" ht="15">
      <c r="A569" s="343"/>
      <c r="B569" s="232"/>
      <c r="C569" s="234"/>
      <c r="D569" s="229"/>
      <c r="E569" s="178">
        <v>2017</v>
      </c>
      <c r="F569" s="158">
        <f t="shared" si="65"/>
        <v>0</v>
      </c>
      <c r="G569" s="7"/>
      <c r="H569" s="7"/>
      <c r="I569" s="7">
        <f>9.3-9.3</f>
        <v>0</v>
      </c>
      <c r="J569" s="14"/>
      <c r="K569" s="235"/>
      <c r="L569" s="106"/>
    </row>
    <row r="570" spans="1:12" ht="15">
      <c r="A570" s="343"/>
      <c r="B570" s="232"/>
      <c r="C570" s="234"/>
      <c r="D570" s="229"/>
      <c r="E570" s="178">
        <v>2018</v>
      </c>
      <c r="F570" s="158">
        <f t="shared" si="65"/>
        <v>0</v>
      </c>
      <c r="G570" s="7"/>
      <c r="H570" s="7"/>
      <c r="I570" s="7">
        <v>0</v>
      </c>
      <c r="J570" s="14"/>
      <c r="K570" s="235"/>
      <c r="L570" s="99"/>
    </row>
    <row r="571" spans="1:12" ht="15">
      <c r="A571" s="343"/>
      <c r="B571" s="232"/>
      <c r="C571" s="234"/>
      <c r="D571" s="229"/>
      <c r="E571" s="178">
        <v>2019</v>
      </c>
      <c r="F571" s="158">
        <f t="shared" si="65"/>
        <v>0</v>
      </c>
      <c r="G571" s="7"/>
      <c r="H571" s="7"/>
      <c r="I571" s="7">
        <v>0</v>
      </c>
      <c r="J571" s="14"/>
      <c r="K571" s="235"/>
      <c r="L571" s="99"/>
    </row>
    <row r="572" spans="1:12" ht="15">
      <c r="A572" s="343"/>
      <c r="B572" s="232"/>
      <c r="C572" s="234"/>
      <c r="D572" s="229"/>
      <c r="E572" s="178">
        <v>2020</v>
      </c>
      <c r="F572" s="158">
        <f t="shared" si="65"/>
        <v>0</v>
      </c>
      <c r="G572" s="7"/>
      <c r="H572" s="7"/>
      <c r="I572" s="7">
        <v>0</v>
      </c>
      <c r="J572" s="14"/>
      <c r="K572" s="235"/>
    </row>
    <row r="573" spans="1:12" ht="14.25">
      <c r="A573" s="343"/>
      <c r="B573" s="232"/>
      <c r="C573" s="234"/>
      <c r="D573" s="230"/>
      <c r="E573" s="18" t="s">
        <v>18</v>
      </c>
      <c r="F573" s="160">
        <f>SUM(F567:F572)</f>
        <v>24.5</v>
      </c>
      <c r="G573" s="8"/>
      <c r="H573" s="8"/>
      <c r="I573" s="8">
        <f>SUM(I567:I572)</f>
        <v>24.5</v>
      </c>
      <c r="J573" s="14"/>
      <c r="K573" s="228"/>
    </row>
    <row r="574" spans="1:12">
      <c r="A574" s="342" t="s">
        <v>300</v>
      </c>
      <c r="B574" s="231" t="s">
        <v>91</v>
      </c>
      <c r="C574" s="233" t="s">
        <v>61</v>
      </c>
      <c r="D574" s="227" t="s">
        <v>218</v>
      </c>
      <c r="E574" s="178">
        <v>2015</v>
      </c>
      <c r="F574" s="72"/>
      <c r="G574" s="2"/>
      <c r="H574" s="2"/>
      <c r="I574" s="2"/>
      <c r="J574" s="2"/>
      <c r="K574" s="227" t="s">
        <v>175</v>
      </c>
    </row>
    <row r="575" spans="1:12">
      <c r="A575" s="343"/>
      <c r="B575" s="232"/>
      <c r="C575" s="234"/>
      <c r="D575" s="229"/>
      <c r="E575" s="178">
        <v>2016</v>
      </c>
      <c r="F575" s="72"/>
      <c r="G575" s="2"/>
      <c r="H575" s="2"/>
      <c r="I575" s="2"/>
      <c r="J575" s="2"/>
      <c r="K575" s="235"/>
    </row>
    <row r="576" spans="1:12">
      <c r="A576" s="343"/>
      <c r="B576" s="232"/>
      <c r="C576" s="234"/>
      <c r="D576" s="229"/>
      <c r="E576" s="178">
        <v>2017</v>
      </c>
      <c r="F576" s="72"/>
      <c r="G576" s="2"/>
      <c r="H576" s="2"/>
      <c r="I576" s="2"/>
      <c r="J576" s="2"/>
      <c r="K576" s="235"/>
    </row>
    <row r="577" spans="1:35">
      <c r="A577" s="343"/>
      <c r="B577" s="232"/>
      <c r="C577" s="234"/>
      <c r="D577" s="229"/>
      <c r="E577" s="178">
        <v>2018</v>
      </c>
      <c r="F577" s="72"/>
      <c r="G577" s="2"/>
      <c r="H577" s="2"/>
      <c r="I577" s="2"/>
      <c r="J577" s="2"/>
      <c r="K577" s="235"/>
      <c r="L577" s="106"/>
    </row>
    <row r="578" spans="1:35">
      <c r="A578" s="343"/>
      <c r="B578" s="232"/>
      <c r="C578" s="234"/>
      <c r="D578" s="229"/>
      <c r="E578" s="178">
        <v>2019</v>
      </c>
      <c r="F578" s="72"/>
      <c r="G578" s="2"/>
      <c r="H578" s="2"/>
      <c r="I578" s="2"/>
      <c r="J578" s="2"/>
      <c r="K578" s="235"/>
    </row>
    <row r="579" spans="1:35">
      <c r="A579" s="343"/>
      <c r="B579" s="232"/>
      <c r="C579" s="234"/>
      <c r="D579" s="229"/>
      <c r="E579" s="178">
        <v>2020</v>
      </c>
      <c r="F579" s="72"/>
      <c r="G579" s="2"/>
      <c r="H579" s="2"/>
      <c r="I579" s="2"/>
      <c r="J579" s="2"/>
      <c r="K579" s="235"/>
    </row>
    <row r="580" spans="1:35">
      <c r="A580" s="343"/>
      <c r="B580" s="232"/>
      <c r="C580" s="234"/>
      <c r="D580" s="230"/>
      <c r="E580" s="18" t="s">
        <v>18</v>
      </c>
      <c r="F580" s="72"/>
      <c r="G580" s="2"/>
      <c r="H580" s="2"/>
      <c r="I580" s="2"/>
      <c r="J580" s="2"/>
      <c r="K580" s="228"/>
    </row>
    <row r="581" spans="1:35" ht="12.75" customHeight="1">
      <c r="A581" s="342" t="s">
        <v>301</v>
      </c>
      <c r="B581" s="231" t="s">
        <v>92</v>
      </c>
      <c r="C581" s="233" t="s">
        <v>61</v>
      </c>
      <c r="D581" s="227" t="s">
        <v>218</v>
      </c>
      <c r="E581" s="178">
        <v>2015</v>
      </c>
      <c r="F581" s="72"/>
      <c r="G581" s="2"/>
      <c r="H581" s="2"/>
      <c r="I581" s="2"/>
      <c r="J581" s="2"/>
      <c r="K581" s="227" t="s">
        <v>176</v>
      </c>
    </row>
    <row r="582" spans="1:35">
      <c r="A582" s="343"/>
      <c r="B582" s="232"/>
      <c r="C582" s="234"/>
      <c r="D582" s="229"/>
      <c r="E582" s="178">
        <v>2016</v>
      </c>
      <c r="F582" s="72"/>
      <c r="G582" s="2"/>
      <c r="H582" s="2"/>
      <c r="I582" s="2"/>
      <c r="J582" s="2"/>
      <c r="K582" s="235"/>
    </row>
    <row r="583" spans="1:35">
      <c r="A583" s="343"/>
      <c r="B583" s="232"/>
      <c r="C583" s="234"/>
      <c r="D583" s="229"/>
      <c r="E583" s="178">
        <v>2017</v>
      </c>
      <c r="F583" s="72"/>
      <c r="G583" s="2"/>
      <c r="H583" s="2"/>
      <c r="I583" s="2"/>
      <c r="J583" s="2"/>
      <c r="K583" s="235"/>
    </row>
    <row r="584" spans="1:35">
      <c r="A584" s="343"/>
      <c r="B584" s="232"/>
      <c r="C584" s="234"/>
      <c r="D584" s="229"/>
      <c r="E584" s="178">
        <v>2018</v>
      </c>
      <c r="F584" s="72"/>
      <c r="G584" s="2"/>
      <c r="H584" s="2"/>
      <c r="I584" s="2"/>
      <c r="J584" s="2"/>
      <c r="K584" s="235"/>
      <c r="L584" s="106"/>
    </row>
    <row r="585" spans="1:35">
      <c r="A585" s="343"/>
      <c r="B585" s="232"/>
      <c r="C585" s="234"/>
      <c r="D585" s="229"/>
      <c r="E585" s="178">
        <v>2019</v>
      </c>
      <c r="F585" s="72"/>
      <c r="G585" s="2"/>
      <c r="H585" s="2"/>
      <c r="I585" s="2"/>
      <c r="J585" s="2"/>
      <c r="K585" s="235"/>
    </row>
    <row r="586" spans="1:35">
      <c r="A586" s="343"/>
      <c r="B586" s="232"/>
      <c r="C586" s="234"/>
      <c r="D586" s="229"/>
      <c r="E586" s="178">
        <v>2020</v>
      </c>
      <c r="F586" s="72"/>
      <c r="G586" s="2"/>
      <c r="H586" s="2"/>
      <c r="I586" s="2"/>
      <c r="J586" s="2"/>
      <c r="K586" s="235"/>
    </row>
    <row r="587" spans="1:35" ht="24.75" customHeight="1">
      <c r="A587" s="343"/>
      <c r="B587" s="232"/>
      <c r="C587" s="234"/>
      <c r="D587" s="230"/>
      <c r="E587" s="18" t="s">
        <v>18</v>
      </c>
      <c r="F587" s="72"/>
      <c r="G587" s="2"/>
      <c r="H587" s="2"/>
      <c r="I587" s="2"/>
      <c r="J587" s="2"/>
      <c r="K587" s="235"/>
      <c r="L587" s="135"/>
      <c r="M587" s="127"/>
    </row>
    <row r="588" spans="1:35" ht="15.75" customHeight="1" thickBot="1">
      <c r="A588" s="325" t="s">
        <v>207</v>
      </c>
      <c r="B588" s="326"/>
      <c r="C588" s="326"/>
      <c r="D588" s="326"/>
      <c r="E588" s="6" t="s">
        <v>61</v>
      </c>
      <c r="F588" s="147">
        <f>F566+F573</f>
        <v>176.5</v>
      </c>
      <c r="G588" s="147"/>
      <c r="H588" s="147">
        <f>H566+H573+H580+H587</f>
        <v>0</v>
      </c>
      <c r="I588" s="147">
        <f>I566+I573+I580+I587</f>
        <v>176.5</v>
      </c>
      <c r="J588" s="15"/>
      <c r="K588" s="177"/>
    </row>
    <row r="589" spans="1:35" ht="31.5" customHeight="1" thickBot="1">
      <c r="A589" s="305" t="s">
        <v>208</v>
      </c>
      <c r="B589" s="306"/>
      <c r="C589" s="306"/>
      <c r="D589" s="306"/>
      <c r="E589" s="306"/>
      <c r="F589" s="306"/>
      <c r="G589" s="306"/>
      <c r="H589" s="306"/>
      <c r="I589" s="306"/>
      <c r="J589" s="306"/>
      <c r="K589" s="306"/>
      <c r="L589" s="73"/>
      <c r="M589" s="73"/>
      <c r="N589" s="73"/>
      <c r="O589" s="73"/>
      <c r="P589" s="73"/>
      <c r="Q589" s="73"/>
      <c r="R589" s="73"/>
      <c r="S589" s="73"/>
      <c r="T589" s="73"/>
      <c r="U589" s="73"/>
      <c r="V589" s="73"/>
      <c r="W589" s="73"/>
      <c r="X589" s="73"/>
      <c r="Y589" s="73"/>
      <c r="Z589" s="73"/>
      <c r="AA589" s="73"/>
      <c r="AB589" s="73"/>
      <c r="AC589" s="73"/>
      <c r="AD589" s="73"/>
      <c r="AE589" s="73"/>
      <c r="AF589" s="73"/>
      <c r="AG589" s="73"/>
      <c r="AH589" s="73"/>
      <c r="AI589" s="74"/>
    </row>
    <row r="590" spans="1:35" ht="30" customHeight="1" thickBot="1">
      <c r="A590" s="238" t="s">
        <v>209</v>
      </c>
      <c r="B590" s="361"/>
      <c r="C590" s="361"/>
      <c r="D590" s="362"/>
      <c r="E590" s="362"/>
      <c r="F590" s="362"/>
      <c r="G590" s="362"/>
      <c r="H590" s="362"/>
      <c r="I590" s="362"/>
      <c r="J590" s="362"/>
      <c r="K590" s="362"/>
      <c r="L590" s="75"/>
      <c r="M590" s="75"/>
      <c r="N590" s="75"/>
      <c r="O590" s="75"/>
      <c r="P590" s="75"/>
      <c r="Q590" s="75"/>
      <c r="R590" s="75"/>
      <c r="S590" s="75"/>
      <c r="T590" s="75"/>
      <c r="U590" s="75"/>
      <c r="V590" s="75"/>
      <c r="W590" s="75"/>
      <c r="X590" s="75"/>
      <c r="Y590" s="75"/>
      <c r="Z590" s="75"/>
      <c r="AA590" s="75"/>
      <c r="AB590" s="75"/>
      <c r="AC590" s="75"/>
      <c r="AD590" s="75"/>
      <c r="AE590" s="75"/>
      <c r="AF590" s="75"/>
      <c r="AG590" s="75"/>
      <c r="AH590" s="75"/>
      <c r="AI590" s="76"/>
    </row>
    <row r="591" spans="1:35" ht="15">
      <c r="A591" s="350" t="s">
        <v>93</v>
      </c>
      <c r="B591" s="231" t="s">
        <v>94</v>
      </c>
      <c r="C591" s="233" t="s">
        <v>61</v>
      </c>
      <c r="D591" s="281" t="s">
        <v>218</v>
      </c>
      <c r="E591" s="178">
        <v>2015</v>
      </c>
      <c r="F591" s="157">
        <f t="shared" ref="F591:F596" si="66">SUM(G591:I591)</f>
        <v>170</v>
      </c>
      <c r="G591" s="7"/>
      <c r="H591" s="7"/>
      <c r="I591" s="7">
        <v>170</v>
      </c>
      <c r="J591" s="14"/>
      <c r="K591" s="281" t="s">
        <v>177</v>
      </c>
    </row>
    <row r="592" spans="1:35" ht="15">
      <c r="A592" s="351"/>
      <c r="B592" s="232"/>
      <c r="C592" s="234"/>
      <c r="D592" s="234"/>
      <c r="E592" s="178">
        <v>2016</v>
      </c>
      <c r="F592" s="157">
        <f t="shared" si="66"/>
        <v>179.9</v>
      </c>
      <c r="G592" s="7"/>
      <c r="H592" s="7"/>
      <c r="I592" s="7">
        <f>180-0.1</f>
        <v>179.9</v>
      </c>
      <c r="J592" s="14"/>
      <c r="K592" s="281"/>
    </row>
    <row r="593" spans="1:35" ht="15">
      <c r="A593" s="351"/>
      <c r="B593" s="232"/>
      <c r="C593" s="234"/>
      <c r="D593" s="234"/>
      <c r="E593" s="178">
        <v>2017</v>
      </c>
      <c r="F593" s="157">
        <f t="shared" si="66"/>
        <v>155</v>
      </c>
      <c r="G593" s="7"/>
      <c r="H593" s="7"/>
      <c r="I593" s="7">
        <v>155</v>
      </c>
      <c r="J593" s="14"/>
      <c r="K593" s="281"/>
      <c r="L593" s="106"/>
    </row>
    <row r="594" spans="1:35" ht="15">
      <c r="A594" s="351"/>
      <c r="B594" s="232"/>
      <c r="C594" s="234"/>
      <c r="D594" s="234"/>
      <c r="E594" s="178">
        <v>2018</v>
      </c>
      <c r="F594" s="157">
        <f t="shared" si="66"/>
        <v>140</v>
      </c>
      <c r="G594" s="7"/>
      <c r="H594" s="7"/>
      <c r="I594" s="7">
        <f>149-9</f>
        <v>140</v>
      </c>
      <c r="J594" s="14"/>
      <c r="K594" s="281"/>
      <c r="L594" s="99"/>
    </row>
    <row r="595" spans="1:35" ht="15">
      <c r="A595" s="351"/>
      <c r="B595" s="232"/>
      <c r="C595" s="234"/>
      <c r="D595" s="234"/>
      <c r="E595" s="178">
        <v>2019</v>
      </c>
      <c r="F595" s="157">
        <f t="shared" si="66"/>
        <v>210</v>
      </c>
      <c r="G595" s="7"/>
      <c r="H595" s="7"/>
      <c r="I595" s="7">
        <v>210</v>
      </c>
      <c r="J595" s="14"/>
      <c r="K595" s="281"/>
      <c r="L595" s="99"/>
    </row>
    <row r="596" spans="1:35" ht="15">
      <c r="A596" s="351"/>
      <c r="B596" s="232"/>
      <c r="C596" s="234"/>
      <c r="D596" s="234"/>
      <c r="E596" s="178">
        <v>2020</v>
      </c>
      <c r="F596" s="157">
        <f t="shared" si="66"/>
        <v>0</v>
      </c>
      <c r="G596" s="7"/>
      <c r="H596" s="7"/>
      <c r="I596" s="7">
        <v>0</v>
      </c>
      <c r="J596" s="14"/>
      <c r="K596" s="281"/>
    </row>
    <row r="597" spans="1:35" ht="14.25">
      <c r="A597" s="351"/>
      <c r="B597" s="232"/>
      <c r="C597" s="234"/>
      <c r="D597" s="234"/>
      <c r="E597" s="18" t="s">
        <v>18</v>
      </c>
      <c r="F597" s="141">
        <f>SUM(F591:F596)</f>
        <v>854.9</v>
      </c>
      <c r="G597" s="8"/>
      <c r="H597" s="8"/>
      <c r="I597" s="8">
        <f>SUM(I591:I596)</f>
        <v>854.9</v>
      </c>
      <c r="J597" s="14"/>
      <c r="K597" s="281"/>
    </row>
    <row r="598" spans="1:35">
      <c r="A598" s="360" t="s">
        <v>67</v>
      </c>
      <c r="B598" s="511" t="s">
        <v>95</v>
      </c>
      <c r="C598" s="226" t="s">
        <v>61</v>
      </c>
      <c r="D598" s="235" t="s">
        <v>218</v>
      </c>
      <c r="E598" s="174">
        <v>2015</v>
      </c>
      <c r="F598" s="203"/>
      <c r="G598" s="12"/>
      <c r="H598" s="12"/>
      <c r="I598" s="12"/>
      <c r="J598" s="12"/>
      <c r="K598" s="235" t="s">
        <v>178</v>
      </c>
    </row>
    <row r="599" spans="1:35">
      <c r="A599" s="343"/>
      <c r="B599" s="357"/>
      <c r="C599" s="234"/>
      <c r="D599" s="229"/>
      <c r="E599" s="178">
        <v>2016</v>
      </c>
      <c r="F599" s="77"/>
      <c r="G599" s="14"/>
      <c r="H599" s="14"/>
      <c r="I599" s="14"/>
      <c r="J599" s="14"/>
      <c r="K599" s="235"/>
    </row>
    <row r="600" spans="1:35">
      <c r="A600" s="343"/>
      <c r="B600" s="357"/>
      <c r="C600" s="234"/>
      <c r="D600" s="229"/>
      <c r="E600" s="178">
        <v>2017</v>
      </c>
      <c r="F600" s="77"/>
      <c r="G600" s="14"/>
      <c r="H600" s="14"/>
      <c r="I600" s="14"/>
      <c r="J600" s="14"/>
      <c r="K600" s="235"/>
      <c r="L600" s="106"/>
    </row>
    <row r="601" spans="1:35">
      <c r="A601" s="343"/>
      <c r="B601" s="357"/>
      <c r="C601" s="234"/>
      <c r="D601" s="229"/>
      <c r="E601" s="178">
        <v>2018</v>
      </c>
      <c r="F601" s="77"/>
      <c r="G601" s="14"/>
      <c r="H601" s="14"/>
      <c r="I601" s="14"/>
      <c r="J601" s="14"/>
      <c r="K601" s="235"/>
    </row>
    <row r="602" spans="1:35">
      <c r="A602" s="343"/>
      <c r="B602" s="357"/>
      <c r="C602" s="234"/>
      <c r="D602" s="229"/>
      <c r="E602" s="178">
        <v>2019</v>
      </c>
      <c r="F602" s="77"/>
      <c r="G602" s="14"/>
      <c r="H602" s="14"/>
      <c r="I602" s="14"/>
      <c r="J602" s="14"/>
      <c r="K602" s="235"/>
    </row>
    <row r="603" spans="1:35">
      <c r="A603" s="343"/>
      <c r="B603" s="357"/>
      <c r="C603" s="234"/>
      <c r="D603" s="229"/>
      <c r="E603" s="178">
        <v>2020</v>
      </c>
      <c r="F603" s="77"/>
      <c r="G603" s="14"/>
      <c r="H603" s="14"/>
      <c r="I603" s="14"/>
      <c r="J603" s="14"/>
      <c r="K603" s="235"/>
    </row>
    <row r="604" spans="1:35">
      <c r="A604" s="354"/>
      <c r="B604" s="357"/>
      <c r="C604" s="290"/>
      <c r="D604" s="230"/>
      <c r="E604" s="26" t="s">
        <v>18</v>
      </c>
      <c r="F604" s="78"/>
      <c r="G604" s="22"/>
      <c r="H604" s="22"/>
      <c r="I604" s="22"/>
      <c r="J604" s="22"/>
      <c r="K604" s="235"/>
    </row>
    <row r="605" spans="1:35" ht="15.75" customHeight="1" thickBot="1">
      <c r="A605" s="325" t="s">
        <v>195</v>
      </c>
      <c r="B605" s="326"/>
      <c r="C605" s="326"/>
      <c r="D605" s="326"/>
      <c r="E605" s="6" t="s">
        <v>61</v>
      </c>
      <c r="F605" s="147">
        <f>F597+F604</f>
        <v>854.9</v>
      </c>
      <c r="G605" s="147"/>
      <c r="H605" s="147">
        <f>H597+H604</f>
        <v>0</v>
      </c>
      <c r="I605" s="147">
        <f>I597+I604</f>
        <v>854.9</v>
      </c>
      <c r="J605" s="17"/>
      <c r="K605" s="92"/>
      <c r="M605" s="126"/>
      <c r="N605" s="127"/>
    </row>
    <row r="606" spans="1:35" ht="18" customHeight="1" thickBot="1">
      <c r="A606" s="347" t="s">
        <v>210</v>
      </c>
      <c r="B606" s="348"/>
      <c r="C606" s="348"/>
      <c r="D606" s="348"/>
      <c r="E606" s="348"/>
      <c r="F606" s="348"/>
      <c r="G606" s="348"/>
      <c r="H606" s="348"/>
      <c r="I606" s="348"/>
      <c r="J606" s="348"/>
      <c r="K606" s="349"/>
      <c r="L606" s="63"/>
      <c r="M606" s="63"/>
      <c r="N606" s="63"/>
      <c r="O606" s="63"/>
      <c r="P606" s="63"/>
      <c r="Q606" s="63"/>
      <c r="R606" s="63"/>
      <c r="S606" s="63"/>
      <c r="T606" s="63"/>
      <c r="U606" s="63"/>
      <c r="V606" s="63"/>
      <c r="W606" s="63"/>
      <c r="X606" s="63"/>
      <c r="Y606" s="63"/>
      <c r="Z606" s="63"/>
      <c r="AA606" s="63"/>
      <c r="AB606" s="63"/>
      <c r="AC606" s="63"/>
      <c r="AD606" s="63"/>
      <c r="AE606" s="63"/>
      <c r="AF606" s="63"/>
      <c r="AG606" s="63"/>
      <c r="AH606" s="63"/>
      <c r="AI606" s="64"/>
    </row>
    <row r="607" spans="1:35" ht="15" thickBot="1">
      <c r="A607" s="322" t="s">
        <v>76</v>
      </c>
      <c r="B607" s="352"/>
      <c r="C607" s="352"/>
      <c r="D607" s="352"/>
      <c r="E607" s="352"/>
      <c r="F607" s="352"/>
      <c r="G607" s="352"/>
      <c r="H607" s="352"/>
      <c r="I607" s="352"/>
      <c r="J607" s="352"/>
      <c r="K607" s="353"/>
      <c r="L607" s="79"/>
      <c r="M607" s="79"/>
      <c r="N607" s="79"/>
      <c r="O607" s="79"/>
      <c r="P607" s="79"/>
      <c r="Q607" s="79"/>
      <c r="R607" s="79"/>
      <c r="S607" s="79"/>
      <c r="T607" s="79"/>
      <c r="U607" s="79"/>
      <c r="V607" s="79"/>
      <c r="W607" s="79"/>
      <c r="X607" s="79"/>
      <c r="Y607" s="79"/>
      <c r="Z607" s="79"/>
      <c r="AA607" s="79"/>
      <c r="AB607" s="79"/>
      <c r="AC607" s="79"/>
      <c r="AD607" s="79"/>
      <c r="AE607" s="79"/>
      <c r="AF607" s="79"/>
      <c r="AG607" s="79"/>
      <c r="AH607" s="79"/>
      <c r="AI607" s="80"/>
    </row>
    <row r="608" spans="1:35" ht="15">
      <c r="A608" s="360" t="s">
        <v>77</v>
      </c>
      <c r="B608" s="244" t="s">
        <v>96</v>
      </c>
      <c r="C608" s="228" t="s">
        <v>61</v>
      </c>
      <c r="D608" s="235" t="s">
        <v>218</v>
      </c>
      <c r="E608" s="174">
        <v>2015</v>
      </c>
      <c r="F608" s="161">
        <f t="shared" ref="F608:F613" si="67">SUM(G608:I608)</f>
        <v>5</v>
      </c>
      <c r="G608" s="144"/>
      <c r="H608" s="144"/>
      <c r="I608" s="144">
        <v>5</v>
      </c>
      <c r="J608" s="12"/>
      <c r="K608" s="235" t="s">
        <v>179</v>
      </c>
    </row>
    <row r="609" spans="1:35" ht="15">
      <c r="A609" s="343"/>
      <c r="B609" s="232"/>
      <c r="C609" s="355"/>
      <c r="D609" s="229"/>
      <c r="E609" s="178">
        <v>2016</v>
      </c>
      <c r="F609" s="158">
        <f t="shared" si="67"/>
        <v>6</v>
      </c>
      <c r="G609" s="7"/>
      <c r="H609" s="7"/>
      <c r="I609" s="7">
        <v>6</v>
      </c>
      <c r="J609" s="14"/>
      <c r="K609" s="235"/>
    </row>
    <row r="610" spans="1:35" ht="15">
      <c r="A610" s="343"/>
      <c r="B610" s="232"/>
      <c r="C610" s="355"/>
      <c r="D610" s="229"/>
      <c r="E610" s="178">
        <v>2017</v>
      </c>
      <c r="F610" s="158">
        <f t="shared" si="67"/>
        <v>5</v>
      </c>
      <c r="G610" s="7"/>
      <c r="H610" s="7"/>
      <c r="I610" s="7">
        <v>5</v>
      </c>
      <c r="J610" s="14"/>
      <c r="K610" s="235"/>
      <c r="L610" s="99"/>
    </row>
    <row r="611" spans="1:35" ht="15">
      <c r="A611" s="343"/>
      <c r="B611" s="232"/>
      <c r="C611" s="355"/>
      <c r="D611" s="229"/>
      <c r="E611" s="178">
        <v>2018</v>
      </c>
      <c r="F611" s="158">
        <f t="shared" si="67"/>
        <v>7</v>
      </c>
      <c r="G611" s="7"/>
      <c r="H611" s="7"/>
      <c r="I611" s="7">
        <v>7</v>
      </c>
      <c r="J611" s="14"/>
      <c r="K611" s="235"/>
      <c r="L611" s="106"/>
    </row>
    <row r="612" spans="1:35" ht="15">
      <c r="A612" s="343"/>
      <c r="B612" s="232"/>
      <c r="C612" s="355"/>
      <c r="D612" s="229"/>
      <c r="E612" s="178">
        <v>2019</v>
      </c>
      <c r="F612" s="158">
        <f t="shared" si="67"/>
        <v>0</v>
      </c>
      <c r="G612" s="7"/>
      <c r="H612" s="7"/>
      <c r="I612" s="7">
        <v>0</v>
      </c>
      <c r="J612" s="14"/>
      <c r="K612" s="235"/>
      <c r="L612" s="99"/>
    </row>
    <row r="613" spans="1:35" ht="15">
      <c r="A613" s="343"/>
      <c r="B613" s="232"/>
      <c r="C613" s="355"/>
      <c r="D613" s="229"/>
      <c r="E613" s="178">
        <v>2020</v>
      </c>
      <c r="F613" s="158">
        <f t="shared" si="67"/>
        <v>0</v>
      </c>
      <c r="G613" s="7"/>
      <c r="H613" s="7"/>
      <c r="I613" s="7">
        <v>0</v>
      </c>
      <c r="J613" s="14"/>
      <c r="K613" s="235"/>
    </row>
    <row r="614" spans="1:35" ht="14.25">
      <c r="A614" s="354"/>
      <c r="B614" s="240"/>
      <c r="C614" s="358"/>
      <c r="D614" s="230"/>
      <c r="E614" s="26" t="s">
        <v>18</v>
      </c>
      <c r="F614" s="162">
        <f>SUM(F608:F613)</f>
        <v>23</v>
      </c>
      <c r="G614" s="163"/>
      <c r="H614" s="163"/>
      <c r="I614" s="163">
        <f>SUM(I608:I613)</f>
        <v>23</v>
      </c>
      <c r="J614" s="22"/>
      <c r="K614" s="228"/>
    </row>
    <row r="615" spans="1:35" ht="15">
      <c r="A615" s="350" t="s">
        <v>79</v>
      </c>
      <c r="B615" s="231" t="s">
        <v>97</v>
      </c>
      <c r="C615" s="281" t="s">
        <v>61</v>
      </c>
      <c r="D615" s="227" t="s">
        <v>218</v>
      </c>
      <c r="E615" s="178">
        <v>2015</v>
      </c>
      <c r="F615" s="157">
        <f t="shared" ref="F615:F620" si="68">SUM(G615:I615)</f>
        <v>13.5</v>
      </c>
      <c r="G615" s="7"/>
      <c r="H615" s="7"/>
      <c r="I615" s="7">
        <v>13.5</v>
      </c>
      <c r="J615" s="14"/>
      <c r="K615" s="227" t="s">
        <v>179</v>
      </c>
    </row>
    <row r="616" spans="1:35" ht="15">
      <c r="A616" s="351"/>
      <c r="B616" s="232"/>
      <c r="C616" s="355"/>
      <c r="D616" s="229"/>
      <c r="E616" s="178">
        <v>2016</v>
      </c>
      <c r="F616" s="157">
        <f t="shared" si="68"/>
        <v>14</v>
      </c>
      <c r="G616" s="7"/>
      <c r="H616" s="7"/>
      <c r="I616" s="7">
        <v>14</v>
      </c>
      <c r="J616" s="14"/>
      <c r="K616" s="235"/>
    </row>
    <row r="617" spans="1:35" ht="15">
      <c r="A617" s="351"/>
      <c r="B617" s="232"/>
      <c r="C617" s="355"/>
      <c r="D617" s="229"/>
      <c r="E617" s="178">
        <v>2017</v>
      </c>
      <c r="F617" s="157">
        <f t="shared" si="68"/>
        <v>11.3</v>
      </c>
      <c r="G617" s="7"/>
      <c r="H617" s="7"/>
      <c r="I617" s="7">
        <v>11.3</v>
      </c>
      <c r="J617" s="14"/>
      <c r="K617" s="235"/>
      <c r="L617" s="99"/>
    </row>
    <row r="618" spans="1:35" ht="15">
      <c r="A618" s="351"/>
      <c r="B618" s="232"/>
      <c r="C618" s="355"/>
      <c r="D618" s="229"/>
      <c r="E618" s="178">
        <v>2018</v>
      </c>
      <c r="F618" s="157">
        <f t="shared" si="68"/>
        <v>15</v>
      </c>
      <c r="G618" s="7"/>
      <c r="H618" s="7"/>
      <c r="I618" s="7">
        <v>15</v>
      </c>
      <c r="J618" s="14"/>
      <c r="K618" s="235"/>
      <c r="L618" s="106"/>
    </row>
    <row r="619" spans="1:35" ht="15">
      <c r="A619" s="351"/>
      <c r="B619" s="232"/>
      <c r="C619" s="355"/>
      <c r="D619" s="229"/>
      <c r="E619" s="178">
        <v>2019</v>
      </c>
      <c r="F619" s="157">
        <f t="shared" si="68"/>
        <v>0</v>
      </c>
      <c r="G619" s="7"/>
      <c r="H619" s="7"/>
      <c r="I619" s="7">
        <v>0</v>
      </c>
      <c r="J619" s="14"/>
      <c r="K619" s="235"/>
      <c r="L619" s="99"/>
    </row>
    <row r="620" spans="1:35" ht="15">
      <c r="A620" s="351"/>
      <c r="B620" s="232"/>
      <c r="C620" s="355"/>
      <c r="D620" s="229"/>
      <c r="E620" s="178">
        <v>2020</v>
      </c>
      <c r="F620" s="157">
        <f t="shared" si="68"/>
        <v>0</v>
      </c>
      <c r="G620" s="7"/>
      <c r="H620" s="7"/>
      <c r="I620" s="7">
        <v>0</v>
      </c>
      <c r="J620" s="14"/>
      <c r="K620" s="235"/>
    </row>
    <row r="621" spans="1:35" ht="14.25">
      <c r="A621" s="351"/>
      <c r="B621" s="232"/>
      <c r="C621" s="355"/>
      <c r="D621" s="230"/>
      <c r="E621" s="18" t="s">
        <v>18</v>
      </c>
      <c r="F621" s="141">
        <f>SUM(F615:F620)</f>
        <v>53.8</v>
      </c>
      <c r="G621" s="8"/>
      <c r="H621" s="8"/>
      <c r="I621" s="8">
        <f>SUM(I615:I620)</f>
        <v>53.8</v>
      </c>
      <c r="J621" s="14"/>
      <c r="K621" s="235"/>
    </row>
    <row r="622" spans="1:35" ht="14.25" customHeight="1" thickBot="1">
      <c r="A622" s="325" t="s">
        <v>197</v>
      </c>
      <c r="B622" s="326"/>
      <c r="C622" s="326"/>
      <c r="D622" s="326"/>
      <c r="E622" s="6" t="s">
        <v>61</v>
      </c>
      <c r="F622" s="147">
        <f>SUM(G622:I622)</f>
        <v>76.8</v>
      </c>
      <c r="G622" s="147"/>
      <c r="H622" s="147">
        <f>H621+H614</f>
        <v>0</v>
      </c>
      <c r="I622" s="147">
        <f>I621+I614</f>
        <v>76.8</v>
      </c>
      <c r="J622" s="17"/>
      <c r="K622" s="172"/>
      <c r="L622" s="126"/>
      <c r="M622" s="127"/>
    </row>
    <row r="623" spans="1:35" ht="15" thickBot="1">
      <c r="A623" s="238" t="s">
        <v>211</v>
      </c>
      <c r="B623" s="232"/>
      <c r="C623" s="232"/>
      <c r="D623" s="232"/>
      <c r="E623" s="232"/>
      <c r="F623" s="232"/>
      <c r="G623" s="232"/>
      <c r="H623" s="232"/>
      <c r="I623" s="232"/>
      <c r="J623" s="232"/>
      <c r="K623" s="232"/>
      <c r="L623" s="63"/>
      <c r="M623" s="63"/>
      <c r="N623" s="63"/>
      <c r="O623" s="63"/>
      <c r="P623" s="63"/>
      <c r="Q623" s="63"/>
      <c r="R623" s="63"/>
      <c r="S623" s="63"/>
      <c r="T623" s="63"/>
      <c r="U623" s="63"/>
      <c r="V623" s="63"/>
      <c r="W623" s="63"/>
      <c r="X623" s="63"/>
      <c r="Y623" s="63"/>
      <c r="Z623" s="63"/>
      <c r="AA623" s="63"/>
      <c r="AB623" s="63"/>
      <c r="AC623" s="63"/>
      <c r="AD623" s="63"/>
      <c r="AE623" s="63"/>
      <c r="AF623" s="63"/>
      <c r="AG623" s="63"/>
      <c r="AH623" s="63"/>
      <c r="AI623" s="64"/>
    </row>
    <row r="624" spans="1:35" ht="15" thickBot="1">
      <c r="A624" s="239" t="s">
        <v>98</v>
      </c>
      <c r="B624" s="240"/>
      <c r="C624" s="240"/>
      <c r="D624" s="240"/>
      <c r="E624" s="240"/>
      <c r="F624" s="240"/>
      <c r="G624" s="240"/>
      <c r="H624" s="240"/>
      <c r="I624" s="240"/>
      <c r="J624" s="240"/>
      <c r="K624" s="240"/>
      <c r="L624" s="75"/>
      <c r="M624" s="75"/>
      <c r="N624" s="75"/>
      <c r="O624" s="75"/>
      <c r="P624" s="75"/>
      <c r="Q624" s="75"/>
      <c r="R624" s="75"/>
      <c r="S624" s="75"/>
      <c r="T624" s="75"/>
      <c r="U624" s="75"/>
      <c r="V624" s="75"/>
      <c r="W624" s="75"/>
      <c r="X624" s="75"/>
      <c r="Y624" s="75"/>
      <c r="Z624" s="75"/>
      <c r="AA624" s="75"/>
      <c r="AB624" s="75"/>
      <c r="AC624" s="75"/>
      <c r="AD624" s="75"/>
      <c r="AE624" s="75"/>
      <c r="AF624" s="75"/>
      <c r="AG624" s="75"/>
      <c r="AH624" s="75"/>
      <c r="AI624" s="76"/>
    </row>
    <row r="625" spans="1:12" ht="12.75" customHeight="1">
      <c r="A625" s="363" t="s">
        <v>99</v>
      </c>
      <c r="B625" s="231" t="s">
        <v>225</v>
      </c>
      <c r="C625" s="281" t="s">
        <v>61</v>
      </c>
      <c r="D625" s="281" t="s">
        <v>218</v>
      </c>
      <c r="E625" s="178">
        <v>2015</v>
      </c>
      <c r="F625" s="157">
        <f t="shared" ref="F625:F630" si="69">SUM(G625:I625)</f>
        <v>230</v>
      </c>
      <c r="G625" s="7"/>
      <c r="H625" s="7"/>
      <c r="I625" s="7">
        <v>230</v>
      </c>
      <c r="J625" s="14"/>
      <c r="K625" s="281" t="s">
        <v>182</v>
      </c>
    </row>
    <row r="626" spans="1:12" ht="15">
      <c r="A626" s="364"/>
      <c r="B626" s="232"/>
      <c r="C626" s="355"/>
      <c r="D626" s="234"/>
      <c r="E626" s="178">
        <v>2016</v>
      </c>
      <c r="F626" s="157">
        <f t="shared" si="69"/>
        <v>245</v>
      </c>
      <c r="G626" s="7"/>
      <c r="H626" s="7"/>
      <c r="I626" s="7">
        <v>245</v>
      </c>
      <c r="J626" s="14"/>
      <c r="K626" s="281"/>
    </row>
    <row r="627" spans="1:12" ht="15">
      <c r="A627" s="364"/>
      <c r="B627" s="232"/>
      <c r="C627" s="355"/>
      <c r="D627" s="234"/>
      <c r="E627" s="178">
        <v>2017</v>
      </c>
      <c r="F627" s="157">
        <f t="shared" si="69"/>
        <v>261.3</v>
      </c>
      <c r="G627" s="7"/>
      <c r="H627" s="7"/>
      <c r="I627" s="7">
        <f>210+51.3</f>
        <v>261.3</v>
      </c>
      <c r="J627" s="14"/>
      <c r="K627" s="281"/>
      <c r="L627" s="99"/>
    </row>
    <row r="628" spans="1:12" ht="15">
      <c r="A628" s="364"/>
      <c r="B628" s="232"/>
      <c r="C628" s="355"/>
      <c r="D628" s="234"/>
      <c r="E628" s="178">
        <v>2018</v>
      </c>
      <c r="F628" s="157">
        <f t="shared" si="69"/>
        <v>0</v>
      </c>
      <c r="G628" s="7"/>
      <c r="H628" s="7"/>
      <c r="I628" s="7">
        <v>0</v>
      </c>
      <c r="J628" s="14"/>
      <c r="K628" s="281"/>
      <c r="L628" s="106"/>
    </row>
    <row r="629" spans="1:12" ht="15">
      <c r="A629" s="364"/>
      <c r="B629" s="232"/>
      <c r="C629" s="355"/>
      <c r="D629" s="234"/>
      <c r="E629" s="178">
        <v>2019</v>
      </c>
      <c r="F629" s="157">
        <f t="shared" si="69"/>
        <v>70</v>
      </c>
      <c r="G629" s="7"/>
      <c r="H629" s="7"/>
      <c r="I629" s="7">
        <v>70</v>
      </c>
      <c r="J629" s="14"/>
      <c r="K629" s="281"/>
      <c r="L629" s="99"/>
    </row>
    <row r="630" spans="1:12" ht="15">
      <c r="A630" s="364"/>
      <c r="B630" s="232"/>
      <c r="C630" s="355"/>
      <c r="D630" s="234"/>
      <c r="E630" s="178">
        <v>2020</v>
      </c>
      <c r="F630" s="157">
        <f t="shared" si="69"/>
        <v>0</v>
      </c>
      <c r="G630" s="7"/>
      <c r="H630" s="7"/>
      <c r="I630" s="7">
        <v>0</v>
      </c>
      <c r="J630" s="14"/>
      <c r="K630" s="281"/>
    </row>
    <row r="631" spans="1:12" ht="14.25">
      <c r="A631" s="364"/>
      <c r="B631" s="232"/>
      <c r="C631" s="355"/>
      <c r="D631" s="234"/>
      <c r="E631" s="18" t="s">
        <v>18</v>
      </c>
      <c r="F631" s="141">
        <f>SUM(F625:F630)</f>
        <v>806.3</v>
      </c>
      <c r="G631" s="8"/>
      <c r="H631" s="8"/>
      <c r="I631" s="8">
        <f>SUM(I625:I630)</f>
        <v>806.3</v>
      </c>
      <c r="J631" s="14"/>
      <c r="K631" s="281"/>
    </row>
    <row r="632" spans="1:12" ht="15">
      <c r="A632" s="350" t="s">
        <v>302</v>
      </c>
      <c r="B632" s="231" t="s">
        <v>227</v>
      </c>
      <c r="C632" s="281" t="s">
        <v>61</v>
      </c>
      <c r="D632" s="281" t="s">
        <v>218</v>
      </c>
      <c r="E632" s="178">
        <v>2015</v>
      </c>
      <c r="F632" s="157">
        <f t="shared" ref="F632:F637" si="70">SUM(G632:I632)</f>
        <v>80</v>
      </c>
      <c r="G632" s="7"/>
      <c r="H632" s="7"/>
      <c r="I632" s="7">
        <v>80</v>
      </c>
      <c r="J632" s="14"/>
      <c r="K632" s="281"/>
    </row>
    <row r="633" spans="1:12" ht="15">
      <c r="A633" s="351"/>
      <c r="B633" s="232"/>
      <c r="C633" s="355"/>
      <c r="D633" s="234"/>
      <c r="E633" s="178">
        <v>2016</v>
      </c>
      <c r="F633" s="157">
        <f t="shared" si="70"/>
        <v>85</v>
      </c>
      <c r="G633" s="7"/>
      <c r="H633" s="7"/>
      <c r="I633" s="7">
        <v>85</v>
      </c>
      <c r="J633" s="14"/>
      <c r="K633" s="281"/>
    </row>
    <row r="634" spans="1:12" ht="15">
      <c r="A634" s="351"/>
      <c r="B634" s="232"/>
      <c r="C634" s="355"/>
      <c r="D634" s="234"/>
      <c r="E634" s="178">
        <v>2017</v>
      </c>
      <c r="F634" s="157">
        <f t="shared" si="70"/>
        <v>60</v>
      </c>
      <c r="G634" s="7"/>
      <c r="H634" s="7"/>
      <c r="I634" s="7">
        <v>60</v>
      </c>
      <c r="J634" s="14"/>
      <c r="K634" s="281"/>
      <c r="L634" s="106"/>
    </row>
    <row r="635" spans="1:12" ht="15">
      <c r="A635" s="351"/>
      <c r="B635" s="232"/>
      <c r="C635" s="355"/>
      <c r="D635" s="234"/>
      <c r="E635" s="178">
        <v>2018</v>
      </c>
      <c r="F635" s="157">
        <f t="shared" si="70"/>
        <v>95</v>
      </c>
      <c r="G635" s="7"/>
      <c r="H635" s="7"/>
      <c r="I635" s="7">
        <v>95</v>
      </c>
      <c r="J635" s="14"/>
      <c r="K635" s="281"/>
      <c r="L635" s="99"/>
    </row>
    <row r="636" spans="1:12" ht="15">
      <c r="A636" s="351"/>
      <c r="B636" s="232"/>
      <c r="C636" s="355"/>
      <c r="D636" s="234"/>
      <c r="E636" s="178">
        <v>2019</v>
      </c>
      <c r="F636" s="157">
        <f t="shared" si="70"/>
        <v>19</v>
      </c>
      <c r="G636" s="7"/>
      <c r="H636" s="7"/>
      <c r="I636" s="7">
        <v>19</v>
      </c>
      <c r="J636" s="14"/>
      <c r="K636" s="281"/>
      <c r="L636" s="99"/>
    </row>
    <row r="637" spans="1:12" ht="15">
      <c r="A637" s="351"/>
      <c r="B637" s="232"/>
      <c r="C637" s="355"/>
      <c r="D637" s="234"/>
      <c r="E637" s="178">
        <v>2020</v>
      </c>
      <c r="F637" s="157">
        <f t="shared" si="70"/>
        <v>0</v>
      </c>
      <c r="G637" s="7"/>
      <c r="H637" s="7"/>
      <c r="I637" s="7">
        <v>0</v>
      </c>
      <c r="J637" s="14"/>
      <c r="K637" s="281"/>
    </row>
    <row r="638" spans="1:12" ht="14.25">
      <c r="A638" s="351"/>
      <c r="B638" s="232"/>
      <c r="C638" s="355"/>
      <c r="D638" s="234"/>
      <c r="E638" s="18" t="s">
        <v>18</v>
      </c>
      <c r="F638" s="141">
        <f>SUM(F632:F637)</f>
        <v>339</v>
      </c>
      <c r="G638" s="8"/>
      <c r="H638" s="8"/>
      <c r="I638" s="8">
        <f>SUM(I632:I637)</f>
        <v>339</v>
      </c>
      <c r="J638" s="14"/>
      <c r="K638" s="281"/>
    </row>
    <row r="639" spans="1:12" ht="15">
      <c r="A639" s="360" t="s">
        <v>303</v>
      </c>
      <c r="B639" s="514" t="s">
        <v>226</v>
      </c>
      <c r="C639" s="228" t="s">
        <v>61</v>
      </c>
      <c r="D639" s="235" t="s">
        <v>218</v>
      </c>
      <c r="E639" s="174">
        <v>2015</v>
      </c>
      <c r="F639" s="161">
        <f t="shared" ref="F639:F644" si="71">SUM(G639:I639)</f>
        <v>47</v>
      </c>
      <c r="G639" s="144"/>
      <c r="H639" s="144"/>
      <c r="I639" s="144">
        <v>47</v>
      </c>
      <c r="J639" s="204"/>
      <c r="K639" s="235" t="s">
        <v>242</v>
      </c>
    </row>
    <row r="640" spans="1:12" ht="15">
      <c r="A640" s="343"/>
      <c r="B640" s="514"/>
      <c r="C640" s="355"/>
      <c r="D640" s="229"/>
      <c r="E640" s="178">
        <v>2016</v>
      </c>
      <c r="F640" s="158">
        <f t="shared" si="71"/>
        <v>50</v>
      </c>
      <c r="G640" s="7"/>
      <c r="H640" s="7"/>
      <c r="I640" s="7">
        <v>50</v>
      </c>
      <c r="J640" s="81"/>
      <c r="K640" s="235"/>
    </row>
    <row r="641" spans="1:12" ht="15">
      <c r="A641" s="343"/>
      <c r="B641" s="514"/>
      <c r="C641" s="355"/>
      <c r="D641" s="229"/>
      <c r="E641" s="178">
        <v>2017</v>
      </c>
      <c r="F641" s="158">
        <f t="shared" si="71"/>
        <v>40</v>
      </c>
      <c r="G641" s="7"/>
      <c r="H641" s="7"/>
      <c r="I641" s="7">
        <v>40</v>
      </c>
      <c r="J641" s="81"/>
      <c r="K641" s="235"/>
      <c r="L641" s="99"/>
    </row>
    <row r="642" spans="1:12" ht="15">
      <c r="A642" s="343"/>
      <c r="B642" s="514"/>
      <c r="C642" s="355"/>
      <c r="D642" s="229"/>
      <c r="E642" s="178">
        <v>2018</v>
      </c>
      <c r="F642" s="158">
        <f t="shared" si="71"/>
        <v>56</v>
      </c>
      <c r="G642" s="7"/>
      <c r="H642" s="7"/>
      <c r="I642" s="7">
        <v>56</v>
      </c>
      <c r="J642" s="81"/>
      <c r="K642" s="235"/>
      <c r="L642" s="99"/>
    </row>
    <row r="643" spans="1:12" ht="15">
      <c r="A643" s="343"/>
      <c r="B643" s="514"/>
      <c r="C643" s="355"/>
      <c r="D643" s="229"/>
      <c r="E643" s="178">
        <v>2019</v>
      </c>
      <c r="F643" s="158">
        <f t="shared" si="71"/>
        <v>14</v>
      </c>
      <c r="G643" s="7"/>
      <c r="H643" s="7"/>
      <c r="I643" s="7">
        <v>14</v>
      </c>
      <c r="J643" s="81"/>
      <c r="K643" s="235"/>
      <c r="L643" s="106"/>
    </row>
    <row r="644" spans="1:12" ht="15">
      <c r="A644" s="343"/>
      <c r="B644" s="514"/>
      <c r="C644" s="355"/>
      <c r="D644" s="229"/>
      <c r="E644" s="178">
        <v>2020</v>
      </c>
      <c r="F644" s="158">
        <f t="shared" si="71"/>
        <v>42</v>
      </c>
      <c r="G644" s="7"/>
      <c r="H644" s="7"/>
      <c r="I644" s="7">
        <v>42</v>
      </c>
      <c r="J644" s="81"/>
      <c r="K644" s="235"/>
    </row>
    <row r="645" spans="1:12" ht="15.75" thickBot="1">
      <c r="A645" s="343"/>
      <c r="B645" s="515"/>
      <c r="C645" s="355"/>
      <c r="D645" s="230"/>
      <c r="E645" s="18" t="s">
        <v>18</v>
      </c>
      <c r="F645" s="160">
        <f>SUM(F639:F644)</f>
        <v>249</v>
      </c>
      <c r="G645" s="7"/>
      <c r="H645" s="7"/>
      <c r="I645" s="8">
        <f>SUM(I639:I644)</f>
        <v>249</v>
      </c>
      <c r="J645" s="81"/>
      <c r="K645" s="235"/>
    </row>
    <row r="646" spans="1:12" ht="15">
      <c r="A646" s="342" t="s">
        <v>304</v>
      </c>
      <c r="B646" s="356" t="s">
        <v>100</v>
      </c>
      <c r="C646" s="281" t="s">
        <v>61</v>
      </c>
      <c r="D646" s="227" t="s">
        <v>218</v>
      </c>
      <c r="E646" s="178">
        <v>2015</v>
      </c>
      <c r="F646" s="158">
        <f t="shared" ref="F646:F651" si="72">SUM(G646:I646)</f>
        <v>40.6</v>
      </c>
      <c r="G646" s="7"/>
      <c r="H646" s="7"/>
      <c r="I646" s="7">
        <v>40.6</v>
      </c>
      <c r="J646" s="14"/>
      <c r="K646" s="235"/>
    </row>
    <row r="647" spans="1:12" ht="15">
      <c r="A647" s="343"/>
      <c r="B647" s="357"/>
      <c r="C647" s="355"/>
      <c r="D647" s="229"/>
      <c r="E647" s="178">
        <v>2016</v>
      </c>
      <c r="F647" s="158">
        <f t="shared" si="72"/>
        <v>50</v>
      </c>
      <c r="G647" s="7"/>
      <c r="H647" s="7"/>
      <c r="I647" s="7">
        <v>50</v>
      </c>
      <c r="J647" s="14"/>
      <c r="K647" s="235"/>
    </row>
    <row r="648" spans="1:12" ht="15">
      <c r="A648" s="343"/>
      <c r="B648" s="357"/>
      <c r="C648" s="355"/>
      <c r="D648" s="229"/>
      <c r="E648" s="178">
        <v>2017</v>
      </c>
      <c r="F648" s="158">
        <f t="shared" si="72"/>
        <v>40</v>
      </c>
      <c r="G648" s="7"/>
      <c r="H648" s="7"/>
      <c r="I648" s="7">
        <v>40</v>
      </c>
      <c r="J648" s="14"/>
      <c r="K648" s="235"/>
      <c r="L648" s="99"/>
    </row>
    <row r="649" spans="1:12" ht="15">
      <c r="A649" s="343"/>
      <c r="B649" s="357"/>
      <c r="C649" s="355"/>
      <c r="D649" s="229"/>
      <c r="E649" s="178">
        <v>2018</v>
      </c>
      <c r="F649" s="158">
        <f t="shared" si="72"/>
        <v>54</v>
      </c>
      <c r="G649" s="7"/>
      <c r="H649" s="7"/>
      <c r="I649" s="7">
        <v>54</v>
      </c>
      <c r="J649" s="14"/>
      <c r="K649" s="235"/>
      <c r="L649" s="99"/>
    </row>
    <row r="650" spans="1:12" ht="15">
      <c r="A650" s="343"/>
      <c r="B650" s="357"/>
      <c r="C650" s="355"/>
      <c r="D650" s="229"/>
      <c r="E650" s="178">
        <v>2019</v>
      </c>
      <c r="F650" s="158">
        <f t="shared" si="72"/>
        <v>16</v>
      </c>
      <c r="G650" s="7"/>
      <c r="H650" s="7"/>
      <c r="I650" s="7">
        <v>16</v>
      </c>
      <c r="J650" s="14"/>
      <c r="K650" s="235"/>
      <c r="L650" s="99"/>
    </row>
    <row r="651" spans="1:12" ht="15">
      <c r="A651" s="343"/>
      <c r="B651" s="357"/>
      <c r="C651" s="355"/>
      <c r="D651" s="229"/>
      <c r="E651" s="178">
        <v>2020</v>
      </c>
      <c r="F651" s="158">
        <f t="shared" si="72"/>
        <v>58</v>
      </c>
      <c r="G651" s="7"/>
      <c r="H651" s="7"/>
      <c r="I651" s="7">
        <v>58</v>
      </c>
      <c r="J651" s="14"/>
      <c r="K651" s="235"/>
      <c r="L651" s="106"/>
    </row>
    <row r="652" spans="1:12" ht="15" thickBot="1">
      <c r="A652" s="343"/>
      <c r="B652" s="359"/>
      <c r="C652" s="355"/>
      <c r="D652" s="230"/>
      <c r="E652" s="18" t="s">
        <v>18</v>
      </c>
      <c r="F652" s="160">
        <f>SUM(F646:F651)</f>
        <v>258.60000000000002</v>
      </c>
      <c r="G652" s="8"/>
      <c r="H652" s="8"/>
      <c r="I652" s="8">
        <f>SUM(I646:I651)</f>
        <v>258.60000000000002</v>
      </c>
      <c r="J652" s="14"/>
      <c r="K652" s="235"/>
    </row>
    <row r="653" spans="1:12" ht="15">
      <c r="A653" s="342" t="s">
        <v>305</v>
      </c>
      <c r="B653" s="356" t="s">
        <v>101</v>
      </c>
      <c r="C653" s="281" t="s">
        <v>61</v>
      </c>
      <c r="D653" s="227" t="s">
        <v>218</v>
      </c>
      <c r="E653" s="178">
        <v>2015</v>
      </c>
      <c r="F653" s="158">
        <f t="shared" ref="F653:F658" si="73">SUM(G653:I653)</f>
        <v>5.0999999999999996</v>
      </c>
      <c r="G653" s="7"/>
      <c r="H653" s="7"/>
      <c r="I653" s="7">
        <v>5.0999999999999996</v>
      </c>
      <c r="J653" s="14"/>
      <c r="K653" s="235"/>
    </row>
    <row r="654" spans="1:12" ht="15">
      <c r="A654" s="343"/>
      <c r="B654" s="357"/>
      <c r="C654" s="355"/>
      <c r="D654" s="229"/>
      <c r="E654" s="178">
        <v>2016</v>
      </c>
      <c r="F654" s="158">
        <f t="shared" si="73"/>
        <v>5.3</v>
      </c>
      <c r="G654" s="7"/>
      <c r="H654" s="7"/>
      <c r="I654" s="7">
        <v>5.3</v>
      </c>
      <c r="J654" s="14"/>
      <c r="K654" s="235"/>
    </row>
    <row r="655" spans="1:12" ht="15">
      <c r="A655" s="343"/>
      <c r="B655" s="357"/>
      <c r="C655" s="355"/>
      <c r="D655" s="229"/>
      <c r="E655" s="178">
        <v>2017</v>
      </c>
      <c r="F655" s="158">
        <f t="shared" si="73"/>
        <v>5</v>
      </c>
      <c r="G655" s="7"/>
      <c r="H655" s="7"/>
      <c r="I655" s="7">
        <v>5</v>
      </c>
      <c r="J655" s="14"/>
      <c r="K655" s="235"/>
      <c r="L655" s="99"/>
    </row>
    <row r="656" spans="1:12" ht="15">
      <c r="A656" s="343"/>
      <c r="B656" s="357"/>
      <c r="C656" s="355"/>
      <c r="D656" s="229"/>
      <c r="E656" s="178">
        <v>2018</v>
      </c>
      <c r="F656" s="158">
        <f t="shared" si="73"/>
        <v>0</v>
      </c>
      <c r="G656" s="7"/>
      <c r="H656" s="7"/>
      <c r="I656" s="7">
        <v>0</v>
      </c>
      <c r="J656" s="14"/>
      <c r="K656" s="235"/>
      <c r="L656" s="106"/>
    </row>
    <row r="657" spans="1:13" ht="15">
      <c r="A657" s="343"/>
      <c r="B657" s="357"/>
      <c r="C657" s="355"/>
      <c r="D657" s="229"/>
      <c r="E657" s="178">
        <v>2019</v>
      </c>
      <c r="F657" s="158">
        <f t="shared" si="73"/>
        <v>0</v>
      </c>
      <c r="G657" s="7"/>
      <c r="H657" s="7"/>
      <c r="I657" s="7">
        <v>0</v>
      </c>
      <c r="J657" s="14"/>
      <c r="K657" s="235"/>
      <c r="L657" s="99"/>
    </row>
    <row r="658" spans="1:13" ht="15">
      <c r="A658" s="343"/>
      <c r="B658" s="357"/>
      <c r="C658" s="355"/>
      <c r="D658" s="229"/>
      <c r="E658" s="178">
        <v>2020</v>
      </c>
      <c r="F658" s="158">
        <f t="shared" si="73"/>
        <v>0</v>
      </c>
      <c r="G658" s="7"/>
      <c r="H658" s="7"/>
      <c r="I658" s="7">
        <v>0</v>
      </c>
      <c r="J658" s="14"/>
      <c r="K658" s="235"/>
    </row>
    <row r="659" spans="1:13" ht="14.25">
      <c r="A659" s="343"/>
      <c r="B659" s="357"/>
      <c r="C659" s="358"/>
      <c r="D659" s="230"/>
      <c r="E659" s="18" t="s">
        <v>18</v>
      </c>
      <c r="F659" s="160">
        <f>SUM(F653:F658)</f>
        <v>15.399999999999999</v>
      </c>
      <c r="G659" s="8"/>
      <c r="H659" s="8"/>
      <c r="I659" s="8">
        <f>SUM(I653:I658)</f>
        <v>15.399999999999999</v>
      </c>
      <c r="J659" s="14"/>
      <c r="K659" s="235"/>
    </row>
    <row r="660" spans="1:13" ht="15">
      <c r="A660" s="342" t="s">
        <v>306</v>
      </c>
      <c r="B660" s="231" t="s">
        <v>102</v>
      </c>
      <c r="C660" s="281" t="s">
        <v>61</v>
      </c>
      <c r="D660" s="227" t="s">
        <v>218</v>
      </c>
      <c r="E660" s="178">
        <v>2015</v>
      </c>
      <c r="F660" s="158">
        <f t="shared" ref="F660:F665" si="74">SUM(G660:I660)</f>
        <v>4.5</v>
      </c>
      <c r="G660" s="7"/>
      <c r="H660" s="7"/>
      <c r="I660" s="7">
        <v>4.5</v>
      </c>
      <c r="J660" s="14"/>
      <c r="K660" s="235"/>
    </row>
    <row r="661" spans="1:13" ht="15">
      <c r="A661" s="343"/>
      <c r="B661" s="232"/>
      <c r="C661" s="355"/>
      <c r="D661" s="229"/>
      <c r="E661" s="178">
        <v>2016</v>
      </c>
      <c r="F661" s="158">
        <f t="shared" si="74"/>
        <v>4.5999999999999996</v>
      </c>
      <c r="G661" s="7"/>
      <c r="H661" s="7"/>
      <c r="I661" s="7">
        <v>4.5999999999999996</v>
      </c>
      <c r="J661" s="14"/>
      <c r="K661" s="235"/>
    </row>
    <row r="662" spans="1:13" ht="15">
      <c r="A662" s="343"/>
      <c r="B662" s="232"/>
      <c r="C662" s="355"/>
      <c r="D662" s="229"/>
      <c r="E662" s="178">
        <v>2017</v>
      </c>
      <c r="F662" s="158">
        <f t="shared" si="74"/>
        <v>4</v>
      </c>
      <c r="G662" s="7"/>
      <c r="H662" s="7"/>
      <c r="I662" s="7">
        <v>4</v>
      </c>
      <c r="J662" s="14"/>
      <c r="K662" s="235"/>
      <c r="L662" s="106"/>
    </row>
    <row r="663" spans="1:13" ht="15">
      <c r="A663" s="343"/>
      <c r="B663" s="232"/>
      <c r="C663" s="355"/>
      <c r="D663" s="229"/>
      <c r="E663" s="178">
        <v>2018</v>
      </c>
      <c r="F663" s="158">
        <f t="shared" si="74"/>
        <v>0</v>
      </c>
      <c r="G663" s="7"/>
      <c r="H663" s="7"/>
      <c r="I663" s="7">
        <v>0</v>
      </c>
      <c r="J663" s="14"/>
      <c r="K663" s="235"/>
      <c r="L663" s="99"/>
    </row>
    <row r="664" spans="1:13" ht="15">
      <c r="A664" s="343"/>
      <c r="B664" s="232"/>
      <c r="C664" s="355"/>
      <c r="D664" s="229"/>
      <c r="E664" s="178">
        <v>2019</v>
      </c>
      <c r="F664" s="158">
        <f t="shared" si="74"/>
        <v>0</v>
      </c>
      <c r="G664" s="7"/>
      <c r="H664" s="7"/>
      <c r="I664" s="7">
        <v>0</v>
      </c>
      <c r="J664" s="14"/>
      <c r="K664" s="235"/>
      <c r="L664" s="99"/>
    </row>
    <row r="665" spans="1:13" ht="15">
      <c r="A665" s="343"/>
      <c r="B665" s="232"/>
      <c r="C665" s="355"/>
      <c r="D665" s="229"/>
      <c r="E665" s="178">
        <v>2020</v>
      </c>
      <c r="F665" s="158">
        <f t="shared" si="74"/>
        <v>0</v>
      </c>
      <c r="G665" s="7"/>
      <c r="H665" s="7"/>
      <c r="I665" s="7">
        <v>0</v>
      </c>
      <c r="J665" s="14"/>
      <c r="K665" s="235"/>
    </row>
    <row r="666" spans="1:13" ht="14.25">
      <c r="A666" s="343"/>
      <c r="B666" s="232"/>
      <c r="C666" s="355"/>
      <c r="D666" s="230"/>
      <c r="E666" s="18" t="s">
        <v>18</v>
      </c>
      <c r="F666" s="160">
        <f>SUM(F660:F665)</f>
        <v>13.1</v>
      </c>
      <c r="G666" s="8"/>
      <c r="H666" s="8"/>
      <c r="I666" s="8">
        <f>SUM(I660:I665)</f>
        <v>13.1</v>
      </c>
      <c r="J666" s="14"/>
      <c r="K666" s="228"/>
    </row>
    <row r="667" spans="1:13" ht="15">
      <c r="A667" s="342" t="s">
        <v>307</v>
      </c>
      <c r="B667" s="231" t="s">
        <v>0</v>
      </c>
      <c r="C667" s="281" t="s">
        <v>61</v>
      </c>
      <c r="D667" s="227" t="s">
        <v>218</v>
      </c>
      <c r="E667" s="178">
        <v>2015</v>
      </c>
      <c r="F667" s="164"/>
      <c r="G667" s="165"/>
      <c r="H667" s="165"/>
      <c r="I667" s="165"/>
      <c r="J667" s="2"/>
      <c r="K667" s="227" t="s">
        <v>183</v>
      </c>
    </row>
    <row r="668" spans="1:13" ht="15">
      <c r="A668" s="343"/>
      <c r="B668" s="232"/>
      <c r="C668" s="355"/>
      <c r="D668" s="229"/>
      <c r="E668" s="178">
        <v>2016</v>
      </c>
      <c r="F668" s="164"/>
      <c r="G668" s="165"/>
      <c r="H668" s="165"/>
      <c r="I668" s="165"/>
      <c r="J668" s="2"/>
      <c r="K668" s="235"/>
    </row>
    <row r="669" spans="1:13" ht="15">
      <c r="A669" s="343"/>
      <c r="B669" s="232"/>
      <c r="C669" s="355"/>
      <c r="D669" s="229"/>
      <c r="E669" s="178">
        <v>2017</v>
      </c>
      <c r="F669" s="164"/>
      <c r="G669" s="165"/>
      <c r="H669" s="165"/>
      <c r="I669" s="165"/>
      <c r="J669" s="2"/>
      <c r="K669" s="235"/>
    </row>
    <row r="670" spans="1:13" ht="15">
      <c r="A670" s="343"/>
      <c r="B670" s="232"/>
      <c r="C670" s="355"/>
      <c r="D670" s="229"/>
      <c r="E670" s="178">
        <v>2018</v>
      </c>
      <c r="F670" s="164"/>
      <c r="G670" s="165"/>
      <c r="H670" s="165"/>
      <c r="I670" s="165"/>
      <c r="J670" s="2"/>
      <c r="K670" s="235"/>
      <c r="L670" s="135"/>
      <c r="M670" s="127"/>
    </row>
    <row r="671" spans="1:13" ht="15">
      <c r="A671" s="343"/>
      <c r="B671" s="232"/>
      <c r="C671" s="355"/>
      <c r="D671" s="229"/>
      <c r="E671" s="178">
        <v>2019</v>
      </c>
      <c r="F671" s="164"/>
      <c r="G671" s="165"/>
      <c r="H671" s="165"/>
      <c r="I671" s="165"/>
      <c r="J671" s="2"/>
      <c r="K671" s="235"/>
    </row>
    <row r="672" spans="1:13" ht="15">
      <c r="A672" s="343"/>
      <c r="B672" s="232"/>
      <c r="C672" s="355"/>
      <c r="D672" s="229"/>
      <c r="E672" s="178">
        <v>2020</v>
      </c>
      <c r="F672" s="164"/>
      <c r="G672" s="165"/>
      <c r="H672" s="165"/>
      <c r="I672" s="165"/>
      <c r="J672" s="2"/>
      <c r="K672" s="235"/>
    </row>
    <row r="673" spans="1:35" ht="15">
      <c r="A673" s="354"/>
      <c r="B673" s="232"/>
      <c r="C673" s="355"/>
      <c r="D673" s="230"/>
      <c r="E673" s="18" t="s">
        <v>18</v>
      </c>
      <c r="F673" s="164"/>
      <c r="G673" s="165"/>
      <c r="H673" s="165"/>
      <c r="I673" s="165"/>
      <c r="J673" s="2"/>
      <c r="K673" s="228"/>
      <c r="P673" s="99" t="s">
        <v>336</v>
      </c>
    </row>
    <row r="674" spans="1:35" ht="15" customHeight="1" thickBot="1">
      <c r="A674" s="373" t="s">
        <v>199</v>
      </c>
      <c r="B674" s="339"/>
      <c r="C674" s="339"/>
      <c r="D674" s="339"/>
      <c r="E674" s="54" t="s">
        <v>61</v>
      </c>
      <c r="F674" s="141">
        <f>SUM(G674:I674)</f>
        <v>1681.4</v>
      </c>
      <c r="G674" s="141"/>
      <c r="H674" s="141">
        <f>H666+H659+H652+H645+H638+H631+H673</f>
        <v>0</v>
      </c>
      <c r="I674" s="141">
        <f>I666+I659+I652+I645+I638+I631+I673</f>
        <v>1681.4</v>
      </c>
      <c r="J674" s="16"/>
      <c r="K674" s="82"/>
      <c r="L674" s="99" t="s">
        <v>334</v>
      </c>
      <c r="N674" s="99" t="s">
        <v>331</v>
      </c>
      <c r="P674" s="99" t="s">
        <v>332</v>
      </c>
      <c r="Q674" s="99" t="s">
        <v>333</v>
      </c>
      <c r="S674" s="99" t="s">
        <v>335</v>
      </c>
    </row>
    <row r="675" spans="1:35" ht="14.25" customHeight="1" thickBot="1">
      <c r="A675" s="252" t="s">
        <v>347</v>
      </c>
      <c r="B675" s="253"/>
      <c r="C675" s="253"/>
      <c r="D675" s="253"/>
      <c r="E675" s="253"/>
      <c r="F675" s="253"/>
      <c r="G675" s="253"/>
      <c r="H675" s="253"/>
      <c r="I675" s="253"/>
      <c r="J675" s="253"/>
      <c r="K675" s="254"/>
      <c r="L675" s="99"/>
      <c r="N675" s="99"/>
      <c r="P675" s="99"/>
      <c r="Q675" s="99"/>
      <c r="S675" s="99"/>
    </row>
    <row r="676" spans="1:35" ht="19.5" customHeight="1">
      <c r="A676" s="255" t="s">
        <v>156</v>
      </c>
      <c r="B676" s="244" t="s">
        <v>400</v>
      </c>
      <c r="C676" s="281" t="s">
        <v>313</v>
      </c>
      <c r="D676" s="227" t="s">
        <v>218</v>
      </c>
      <c r="E676" s="178">
        <v>2017</v>
      </c>
      <c r="F676" s="143">
        <f>G676+H676+I676+J676</f>
        <v>240.5</v>
      </c>
      <c r="G676" s="141"/>
      <c r="H676" s="141"/>
      <c r="I676" s="143">
        <v>240.5</v>
      </c>
      <c r="J676" s="16"/>
      <c r="K676" s="512" t="s">
        <v>155</v>
      </c>
      <c r="L676" s="106"/>
      <c r="N676" s="99"/>
      <c r="P676" s="99"/>
      <c r="Q676" s="99"/>
      <c r="S676" s="99"/>
    </row>
    <row r="677" spans="1:35" ht="24.75" customHeight="1">
      <c r="A677" s="256"/>
      <c r="B677" s="231"/>
      <c r="C677" s="355"/>
      <c r="D677" s="229"/>
      <c r="E677" s="178">
        <v>2018</v>
      </c>
      <c r="F677" s="143">
        <f>I677</f>
        <v>100</v>
      </c>
      <c r="G677" s="142"/>
      <c r="H677" s="142"/>
      <c r="I677" s="143">
        <v>100</v>
      </c>
      <c r="J677" s="16"/>
      <c r="K677" s="513"/>
      <c r="L677" s="99"/>
      <c r="N677" s="99"/>
      <c r="P677" s="99"/>
      <c r="Q677" s="99"/>
      <c r="S677" s="99"/>
    </row>
    <row r="678" spans="1:35" ht="21.75" customHeight="1">
      <c r="A678" s="256"/>
      <c r="B678" s="231"/>
      <c r="C678" s="355"/>
      <c r="D678" s="229"/>
      <c r="E678" s="178">
        <v>2019</v>
      </c>
      <c r="F678" s="143">
        <f>I678</f>
        <v>115</v>
      </c>
      <c r="G678" s="143"/>
      <c r="H678" s="143"/>
      <c r="I678" s="143">
        <v>115</v>
      </c>
      <c r="J678" s="16"/>
      <c r="K678" s="513"/>
      <c r="L678" s="99"/>
      <c r="N678" s="99"/>
      <c r="P678" s="99"/>
      <c r="Q678" s="99"/>
      <c r="S678" s="99"/>
    </row>
    <row r="679" spans="1:35" ht="24.75" customHeight="1">
      <c r="A679" s="256"/>
      <c r="B679" s="231"/>
      <c r="C679" s="355"/>
      <c r="D679" s="229"/>
      <c r="E679" s="178">
        <v>2020</v>
      </c>
      <c r="F679" s="141"/>
      <c r="G679" s="141"/>
      <c r="H679" s="141"/>
      <c r="I679" s="141"/>
      <c r="J679" s="16"/>
      <c r="K679" s="513"/>
      <c r="L679" s="99"/>
      <c r="N679" s="99"/>
      <c r="P679" s="99"/>
      <c r="Q679" s="99"/>
      <c r="S679" s="99"/>
    </row>
    <row r="680" spans="1:35" ht="21.75" customHeight="1">
      <c r="A680" s="256"/>
      <c r="B680" s="231"/>
      <c r="C680" s="355"/>
      <c r="D680" s="229"/>
      <c r="E680" s="257" t="s">
        <v>18</v>
      </c>
      <c r="F680" s="259">
        <f>F676+F677+F678+F679</f>
        <v>455.5</v>
      </c>
      <c r="G680" s="261"/>
      <c r="H680" s="261"/>
      <c r="I680" s="259">
        <f>I676+I677+I678+I679</f>
        <v>455.5</v>
      </c>
      <c r="J680" s="261"/>
      <c r="K680" s="513"/>
      <c r="L680" s="99"/>
      <c r="N680" s="99"/>
      <c r="P680" s="99"/>
      <c r="Q680" s="99"/>
      <c r="S680" s="99"/>
    </row>
    <row r="681" spans="1:35" ht="6.75" customHeight="1" thickBot="1">
      <c r="A681" s="256"/>
      <c r="B681" s="231"/>
      <c r="C681" s="355"/>
      <c r="D681" s="229"/>
      <c r="E681" s="258"/>
      <c r="F681" s="260"/>
      <c r="G681" s="262"/>
      <c r="H681" s="262"/>
      <c r="I681" s="260"/>
      <c r="J681" s="262"/>
      <c r="K681" s="513"/>
      <c r="L681" s="99"/>
      <c r="N681" s="99"/>
      <c r="P681" s="99"/>
      <c r="Q681" s="99"/>
      <c r="S681" s="99"/>
    </row>
    <row r="682" spans="1:35" ht="13.5" hidden="1" customHeight="1">
      <c r="A682" s="256"/>
      <c r="B682" s="242"/>
      <c r="C682" s="358"/>
      <c r="D682" s="229"/>
      <c r="E682" s="258"/>
      <c r="F682" s="260"/>
      <c r="G682" s="262"/>
      <c r="H682" s="262"/>
      <c r="I682" s="260"/>
      <c r="J682" s="262"/>
      <c r="K682" s="513"/>
      <c r="L682" s="99"/>
      <c r="N682" s="99"/>
      <c r="P682" s="99"/>
      <c r="Q682" s="99"/>
      <c r="S682" s="99"/>
    </row>
    <row r="683" spans="1:35" ht="26.25" thickBot="1">
      <c r="A683" s="374" t="s">
        <v>221</v>
      </c>
      <c r="B683" s="375"/>
      <c r="C683" s="375"/>
      <c r="D683" s="376"/>
      <c r="E683" s="209" t="s">
        <v>61</v>
      </c>
      <c r="F683" s="210">
        <f>F680</f>
        <v>455.5</v>
      </c>
      <c r="G683" s="210"/>
      <c r="H683" s="210">
        <f>H680</f>
        <v>0</v>
      </c>
      <c r="I683" s="210">
        <f>I680</f>
        <v>455.5</v>
      </c>
      <c r="J683" s="94"/>
      <c r="K683" s="191"/>
      <c r="L683" s="126"/>
      <c r="M683" s="127"/>
      <c r="N683" s="99"/>
      <c r="P683" s="99"/>
      <c r="Q683" s="99"/>
      <c r="S683" s="99"/>
    </row>
    <row r="684" spans="1:35" ht="47.25" customHeight="1">
      <c r="A684" s="520" t="s">
        <v>212</v>
      </c>
      <c r="B684" s="521"/>
      <c r="C684" s="521"/>
      <c r="D684" s="526"/>
      <c r="E684" s="211" t="s">
        <v>61</v>
      </c>
      <c r="F684" s="205" t="s">
        <v>18</v>
      </c>
      <c r="G684" s="206" t="s">
        <v>10</v>
      </c>
      <c r="H684" s="207" t="s">
        <v>11</v>
      </c>
      <c r="I684" s="207" t="s">
        <v>12</v>
      </c>
      <c r="J684" s="207" t="s">
        <v>13</v>
      </c>
      <c r="K684" s="208"/>
      <c r="M684" s="117"/>
      <c r="N684" s="107"/>
      <c r="O684" s="117"/>
    </row>
    <row r="685" spans="1:35" ht="16.5" thickBot="1">
      <c r="A685" s="523"/>
      <c r="B685" s="524"/>
      <c r="C685" s="524"/>
      <c r="D685" s="527"/>
      <c r="E685" s="212"/>
      <c r="F685" s="141">
        <f>SUM(G685:J685)</f>
        <v>61458.7</v>
      </c>
      <c r="G685" s="141"/>
      <c r="H685" s="142">
        <f>H674+H622+H605+H588+H557+H683</f>
        <v>56084.399999999994</v>
      </c>
      <c r="I685" s="142">
        <f>I674+I622+I605+I588+I557+I683</f>
        <v>5374.2999999999993</v>
      </c>
      <c r="J685" s="143"/>
      <c r="K685" s="51"/>
      <c r="L685" s="133"/>
      <c r="M685" s="134"/>
      <c r="N685" s="28"/>
      <c r="O685" s="28"/>
      <c r="P685" s="28"/>
      <c r="Q685" s="28"/>
      <c r="R685" s="28"/>
      <c r="S685" s="28"/>
      <c r="T685" s="28"/>
      <c r="U685" s="28"/>
      <c r="V685" s="28"/>
    </row>
    <row r="686" spans="1:35" ht="18">
      <c r="A686" s="303" t="s">
        <v>230</v>
      </c>
      <c r="B686" s="304"/>
      <c r="C686" s="304"/>
      <c r="D686" s="304"/>
      <c r="E686" s="372"/>
      <c r="F686" s="372"/>
      <c r="G686" s="372"/>
      <c r="H686" s="372"/>
      <c r="I686" s="372"/>
      <c r="J686" s="372"/>
      <c r="K686" s="372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38"/>
      <c r="X686" s="38"/>
      <c r="Y686" s="38"/>
      <c r="Z686" s="38"/>
      <c r="AA686" s="38"/>
      <c r="AB686" s="38"/>
      <c r="AC686" s="38"/>
      <c r="AD686" s="38"/>
      <c r="AE686" s="38"/>
      <c r="AF686" s="38"/>
      <c r="AG686" s="38"/>
      <c r="AH686" s="38"/>
      <c r="AI686" s="39"/>
    </row>
    <row r="687" spans="1:35" ht="16.5" thickBot="1">
      <c r="A687" s="365" t="s">
        <v>213</v>
      </c>
      <c r="B687" s="366"/>
      <c r="C687" s="366"/>
      <c r="D687" s="366"/>
      <c r="E687" s="312"/>
      <c r="F687" s="312"/>
      <c r="G687" s="312"/>
      <c r="H687" s="312"/>
      <c r="I687" s="312"/>
      <c r="J687" s="312"/>
      <c r="K687" s="312"/>
      <c r="L687" s="57"/>
      <c r="M687" s="57"/>
      <c r="N687" s="57"/>
      <c r="O687" s="57"/>
      <c r="P687" s="57"/>
      <c r="Q687" s="57"/>
      <c r="R687" s="57"/>
      <c r="S687" s="57"/>
      <c r="T687" s="57"/>
      <c r="U687" s="57"/>
      <c r="V687" s="57"/>
      <c r="W687" s="83"/>
      <c r="X687" s="83"/>
      <c r="Y687" s="83"/>
      <c r="Z687" s="83"/>
      <c r="AA687" s="83"/>
      <c r="AB687" s="83"/>
      <c r="AC687" s="83"/>
      <c r="AD687" s="83"/>
      <c r="AE687" s="83"/>
      <c r="AF687" s="83"/>
      <c r="AG687" s="83"/>
      <c r="AH687" s="83"/>
      <c r="AI687" s="84"/>
    </row>
    <row r="688" spans="1:35" ht="15">
      <c r="A688" s="350" t="s">
        <v>103</v>
      </c>
      <c r="B688" s="368" t="s">
        <v>104</v>
      </c>
      <c r="C688" s="233" t="s">
        <v>61</v>
      </c>
      <c r="D688" s="227" t="s">
        <v>218</v>
      </c>
      <c r="E688" s="178">
        <v>2015</v>
      </c>
      <c r="F688" s="157">
        <f t="shared" ref="F688:F693" si="75">SUM(G688:J688)</f>
        <v>4484.7</v>
      </c>
      <c r="G688" s="7"/>
      <c r="H688" s="7"/>
      <c r="I688" s="7">
        <v>4092.2</v>
      </c>
      <c r="J688" s="7">
        <v>392.5</v>
      </c>
      <c r="K688" s="227" t="s">
        <v>180</v>
      </c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</row>
    <row r="689" spans="1:22" ht="15">
      <c r="A689" s="351"/>
      <c r="B689" s="369"/>
      <c r="C689" s="234"/>
      <c r="D689" s="229"/>
      <c r="E689" s="178">
        <v>2016</v>
      </c>
      <c r="F689" s="157">
        <f t="shared" si="75"/>
        <v>4690</v>
      </c>
      <c r="G689" s="7"/>
      <c r="H689" s="7"/>
      <c r="I689" s="7">
        <f>3801.5+222.3-0.4</f>
        <v>4023.4</v>
      </c>
      <c r="J689" s="7">
        <f>58.3+608.3</f>
        <v>666.59999999999991</v>
      </c>
      <c r="K689" s="235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</row>
    <row r="690" spans="1:22" ht="15">
      <c r="A690" s="351"/>
      <c r="B690" s="369"/>
      <c r="C690" s="234"/>
      <c r="D690" s="229"/>
      <c r="E690" s="178">
        <v>2017</v>
      </c>
      <c r="F690" s="157">
        <f t="shared" si="75"/>
        <v>5150.5</v>
      </c>
      <c r="G690" s="7"/>
      <c r="H690" s="7"/>
      <c r="I690" s="7">
        <v>4386.7</v>
      </c>
      <c r="J690" s="7">
        <f>692.8+71</f>
        <v>763.8</v>
      </c>
      <c r="K690" s="235"/>
      <c r="L690" s="99" t="s">
        <v>387</v>
      </c>
      <c r="M690" s="125" t="s">
        <v>385</v>
      </c>
      <c r="N690" s="138" t="s">
        <v>386</v>
      </c>
      <c r="O690" s="137" t="s">
        <v>388</v>
      </c>
    </row>
    <row r="691" spans="1:22" ht="15">
      <c r="A691" s="351"/>
      <c r="B691" s="369"/>
      <c r="C691" s="234"/>
      <c r="D691" s="229"/>
      <c r="E691" s="178">
        <v>2018</v>
      </c>
      <c r="F691" s="157">
        <f t="shared" si="75"/>
        <v>12309.900000000001</v>
      </c>
      <c r="G691" s="7"/>
      <c r="H691" s="7"/>
      <c r="I691" s="7">
        <v>10993.2</v>
      </c>
      <c r="J691" s="7">
        <v>1316.7</v>
      </c>
      <c r="K691" s="235"/>
      <c r="L691" s="99"/>
    </row>
    <row r="692" spans="1:22" ht="15">
      <c r="A692" s="351"/>
      <c r="B692" s="369"/>
      <c r="C692" s="234"/>
      <c r="D692" s="229"/>
      <c r="E692" s="178">
        <v>2019</v>
      </c>
      <c r="F692" s="157">
        <f t="shared" si="75"/>
        <v>2707.1</v>
      </c>
      <c r="G692" s="7"/>
      <c r="H692" s="7"/>
      <c r="I692" s="7">
        <v>2639.6</v>
      </c>
      <c r="J692" s="7">
        <v>67.5</v>
      </c>
      <c r="K692" s="235"/>
      <c r="L692" s="99"/>
    </row>
    <row r="693" spans="1:22" ht="15">
      <c r="A693" s="351"/>
      <c r="B693" s="369"/>
      <c r="C693" s="234"/>
      <c r="D693" s="229"/>
      <c r="E693" s="178">
        <v>2020</v>
      </c>
      <c r="F693" s="157">
        <f t="shared" si="75"/>
        <v>2710.6</v>
      </c>
      <c r="G693" s="7"/>
      <c r="H693" s="7"/>
      <c r="I693" s="7">
        <v>2639.7</v>
      </c>
      <c r="J693" s="7">
        <v>70.900000000000006</v>
      </c>
      <c r="K693" s="235"/>
    </row>
    <row r="694" spans="1:22" ht="14.25">
      <c r="A694" s="367"/>
      <c r="B694" s="370"/>
      <c r="C694" s="290"/>
      <c r="D694" s="229"/>
      <c r="E694" s="18" t="s">
        <v>18</v>
      </c>
      <c r="F694" s="141">
        <f>SUM(F688:F693)</f>
        <v>32052.799999999999</v>
      </c>
      <c r="G694" s="141"/>
      <c r="H694" s="141">
        <f>SUM(H688:H693)</f>
        <v>0</v>
      </c>
      <c r="I694" s="141">
        <f>SUM(I688:I693)</f>
        <v>28774.799999999999</v>
      </c>
      <c r="J694" s="141">
        <f>SUM(J688:J693)</f>
        <v>3278</v>
      </c>
      <c r="K694" s="235"/>
    </row>
    <row r="695" spans="1:22" ht="15">
      <c r="A695" s="363" t="s">
        <v>105</v>
      </c>
      <c r="B695" s="282" t="s">
        <v>106</v>
      </c>
      <c r="C695" s="233" t="s">
        <v>61</v>
      </c>
      <c r="D695" s="281" t="s">
        <v>218</v>
      </c>
      <c r="E695" s="178">
        <v>2015</v>
      </c>
      <c r="F695" s="157">
        <f t="shared" ref="F695:F700" si="76">SUM(G695:J695)</f>
        <v>448.20000000000005</v>
      </c>
      <c r="G695" s="7"/>
      <c r="H695" s="7"/>
      <c r="I695" s="7">
        <v>251.4</v>
      </c>
      <c r="J695" s="7">
        <v>196.8</v>
      </c>
      <c r="K695" s="235"/>
    </row>
    <row r="696" spans="1:22" ht="15">
      <c r="A696" s="371"/>
      <c r="B696" s="283"/>
      <c r="C696" s="234"/>
      <c r="D696" s="234"/>
      <c r="E696" s="178">
        <v>2016</v>
      </c>
      <c r="F696" s="157">
        <f t="shared" si="76"/>
        <v>478.19999999999993</v>
      </c>
      <c r="G696" s="7"/>
      <c r="H696" s="7"/>
      <c r="I696" s="7">
        <f>414.2-142.9</f>
        <v>271.29999999999995</v>
      </c>
      <c r="J696" s="7">
        <f>206.6+0.3</f>
        <v>206.9</v>
      </c>
      <c r="K696" s="235"/>
    </row>
    <row r="697" spans="1:22" ht="15">
      <c r="A697" s="371"/>
      <c r="B697" s="283"/>
      <c r="C697" s="234"/>
      <c r="D697" s="234"/>
      <c r="E697" s="178">
        <v>2017</v>
      </c>
      <c r="F697" s="157">
        <f t="shared" si="76"/>
        <v>485</v>
      </c>
      <c r="G697" s="7"/>
      <c r="H697" s="7"/>
      <c r="I697" s="7">
        <v>355.7</v>
      </c>
      <c r="J697" s="7">
        <f>110.1+19.2</f>
        <v>129.29999999999998</v>
      </c>
      <c r="K697" s="235"/>
      <c r="L697" s="99" t="s">
        <v>392</v>
      </c>
      <c r="M697" s="125" t="s">
        <v>389</v>
      </c>
      <c r="N697" s="138" t="s">
        <v>390</v>
      </c>
      <c r="O697" s="137" t="s">
        <v>391</v>
      </c>
    </row>
    <row r="698" spans="1:22" ht="15">
      <c r="A698" s="371"/>
      <c r="B698" s="283"/>
      <c r="C698" s="234"/>
      <c r="D698" s="234"/>
      <c r="E698" s="178">
        <v>2018</v>
      </c>
      <c r="F698" s="157">
        <f t="shared" si="76"/>
        <v>621.90000000000009</v>
      </c>
      <c r="G698" s="7"/>
      <c r="H698" s="7"/>
      <c r="I698" s="7">
        <v>337.1</v>
      </c>
      <c r="J698" s="7">
        <v>284.8</v>
      </c>
      <c r="K698" s="235"/>
      <c r="L698" s="99"/>
    </row>
    <row r="699" spans="1:22" ht="15">
      <c r="A699" s="371"/>
      <c r="B699" s="283"/>
      <c r="C699" s="234"/>
      <c r="D699" s="234"/>
      <c r="E699" s="178">
        <v>2019</v>
      </c>
      <c r="F699" s="157">
        <f t="shared" si="76"/>
        <v>415.7</v>
      </c>
      <c r="G699" s="7"/>
      <c r="H699" s="7"/>
      <c r="I699" s="7">
        <v>176.6</v>
      </c>
      <c r="J699" s="7">
        <v>239.1</v>
      </c>
      <c r="K699" s="235"/>
      <c r="L699" s="99"/>
    </row>
    <row r="700" spans="1:22" ht="15">
      <c r="A700" s="371"/>
      <c r="B700" s="283"/>
      <c r="C700" s="234"/>
      <c r="D700" s="234"/>
      <c r="E700" s="178">
        <v>2020</v>
      </c>
      <c r="F700" s="157">
        <f t="shared" si="76"/>
        <v>427.6</v>
      </c>
      <c r="G700" s="7"/>
      <c r="H700" s="7"/>
      <c r="I700" s="7">
        <v>176.6</v>
      </c>
      <c r="J700" s="7">
        <v>251</v>
      </c>
      <c r="K700" s="235"/>
    </row>
    <row r="701" spans="1:22" ht="14.25">
      <c r="A701" s="371"/>
      <c r="B701" s="283"/>
      <c r="C701" s="234"/>
      <c r="D701" s="234"/>
      <c r="E701" s="18" t="s">
        <v>18</v>
      </c>
      <c r="F701" s="141">
        <f>SUM(F695:F700)</f>
        <v>2876.6</v>
      </c>
      <c r="G701" s="141"/>
      <c r="H701" s="141">
        <f>SUM(H695:H700)</f>
        <v>0</v>
      </c>
      <c r="I701" s="141">
        <f>SUM(I695:I700)</f>
        <v>1568.6999999999998</v>
      </c>
      <c r="J701" s="141">
        <f>SUM(J695:J700)</f>
        <v>1307.8999999999999</v>
      </c>
      <c r="K701" s="235"/>
    </row>
    <row r="702" spans="1:22" ht="15">
      <c r="A702" s="363" t="s">
        <v>107</v>
      </c>
      <c r="B702" s="282" t="s">
        <v>276</v>
      </c>
      <c r="C702" s="233" t="s">
        <v>61</v>
      </c>
      <c r="D702" s="281" t="s">
        <v>218</v>
      </c>
      <c r="E702" s="178">
        <v>2015</v>
      </c>
      <c r="F702" s="157">
        <f t="shared" ref="F702:F707" si="77">SUM(G702:J702)</f>
        <v>402.69999999999993</v>
      </c>
      <c r="G702" s="7"/>
      <c r="H702" s="7"/>
      <c r="I702" s="7">
        <f>344.4+6.9</f>
        <v>351.29999999999995</v>
      </c>
      <c r="J702" s="7">
        <v>51.4</v>
      </c>
      <c r="K702" s="235"/>
    </row>
    <row r="703" spans="1:22" ht="15">
      <c r="A703" s="371"/>
      <c r="B703" s="282"/>
      <c r="C703" s="234"/>
      <c r="D703" s="234"/>
      <c r="E703" s="178">
        <v>2016</v>
      </c>
      <c r="F703" s="157">
        <f t="shared" si="77"/>
        <v>681.2</v>
      </c>
      <c r="G703" s="7"/>
      <c r="H703" s="7"/>
      <c r="I703" s="7">
        <f>363.3+262.6</f>
        <v>625.90000000000009</v>
      </c>
      <c r="J703" s="7">
        <f>54+1.3</f>
        <v>55.3</v>
      </c>
      <c r="K703" s="235"/>
    </row>
    <row r="704" spans="1:22" ht="15">
      <c r="A704" s="371"/>
      <c r="B704" s="282"/>
      <c r="C704" s="234"/>
      <c r="D704" s="234"/>
      <c r="E704" s="178">
        <v>2017</v>
      </c>
      <c r="F704" s="157">
        <f t="shared" si="77"/>
        <v>877.6</v>
      </c>
      <c r="G704" s="7"/>
      <c r="H704" s="7"/>
      <c r="I704" s="7">
        <v>678.1</v>
      </c>
      <c r="J704" s="7">
        <f>169.8+29.7</f>
        <v>199.5</v>
      </c>
      <c r="K704" s="235"/>
      <c r="L704" s="99" t="s">
        <v>396</v>
      </c>
      <c r="M704" s="125" t="s">
        <v>393</v>
      </c>
      <c r="N704" s="138" t="s">
        <v>394</v>
      </c>
      <c r="O704" s="137" t="s">
        <v>395</v>
      </c>
    </row>
    <row r="705" spans="1:14" ht="15">
      <c r="A705" s="371"/>
      <c r="B705" s="282"/>
      <c r="C705" s="234"/>
      <c r="D705" s="234"/>
      <c r="E705" s="178">
        <v>2018</v>
      </c>
      <c r="F705" s="157">
        <f t="shared" si="77"/>
        <v>1459.3</v>
      </c>
      <c r="G705" s="7"/>
      <c r="H705" s="7"/>
      <c r="I705" s="7">
        <v>1042.5999999999999</v>
      </c>
      <c r="J705" s="7">
        <v>416.7</v>
      </c>
      <c r="K705" s="235"/>
      <c r="L705" s="99"/>
    </row>
    <row r="706" spans="1:14" ht="15">
      <c r="A706" s="371"/>
      <c r="B706" s="282"/>
      <c r="C706" s="234"/>
      <c r="D706" s="234"/>
      <c r="E706" s="178">
        <v>2019</v>
      </c>
      <c r="F706" s="157">
        <f t="shared" si="77"/>
        <v>885.1</v>
      </c>
      <c r="G706" s="7"/>
      <c r="H706" s="7"/>
      <c r="I706" s="7">
        <v>822.6</v>
      </c>
      <c r="J706" s="7">
        <v>62.5</v>
      </c>
      <c r="K706" s="235"/>
      <c r="L706" s="99"/>
    </row>
    <row r="707" spans="1:14" ht="15">
      <c r="A707" s="371"/>
      <c r="B707" s="282"/>
      <c r="C707" s="234"/>
      <c r="D707" s="234"/>
      <c r="E707" s="178">
        <v>2020</v>
      </c>
      <c r="F707" s="157">
        <f t="shared" si="77"/>
        <v>888.30000000000007</v>
      </c>
      <c r="G707" s="7"/>
      <c r="H707" s="7"/>
      <c r="I707" s="7">
        <v>822.6</v>
      </c>
      <c r="J707" s="7">
        <v>65.7</v>
      </c>
      <c r="K707" s="235"/>
    </row>
    <row r="708" spans="1:14" ht="14.25">
      <c r="A708" s="371"/>
      <c r="B708" s="282"/>
      <c r="C708" s="234"/>
      <c r="D708" s="234"/>
      <c r="E708" s="18" t="s">
        <v>18</v>
      </c>
      <c r="F708" s="141">
        <f>SUM(F702:F707)</f>
        <v>5194.2000000000007</v>
      </c>
      <c r="G708" s="141"/>
      <c r="H708" s="141">
        <f>SUM(H702:H707)</f>
        <v>0</v>
      </c>
      <c r="I708" s="141">
        <f>SUM(I702:I707)</f>
        <v>4343.1000000000004</v>
      </c>
      <c r="J708" s="141">
        <f>SUM(J702:J707)</f>
        <v>851.1</v>
      </c>
      <c r="K708" s="235"/>
    </row>
    <row r="709" spans="1:14" ht="15">
      <c r="A709" s="363" t="s">
        <v>108</v>
      </c>
      <c r="B709" s="231" t="s">
        <v>109</v>
      </c>
      <c r="C709" s="233" t="s">
        <v>61</v>
      </c>
      <c r="D709" s="281" t="s">
        <v>218</v>
      </c>
      <c r="E709" s="178">
        <v>2015</v>
      </c>
      <c r="F709" s="157">
        <f t="shared" ref="F709:F714" si="78">SUM(G709:J709)</f>
        <v>2265.3000000000002</v>
      </c>
      <c r="G709" s="7"/>
      <c r="H709" s="7"/>
      <c r="I709" s="7">
        <v>2265.3000000000002</v>
      </c>
      <c r="J709" s="7"/>
      <c r="K709" s="235"/>
    </row>
    <row r="710" spans="1:14" ht="15">
      <c r="A710" s="371"/>
      <c r="B710" s="232"/>
      <c r="C710" s="234"/>
      <c r="D710" s="234"/>
      <c r="E710" s="178">
        <v>2016</v>
      </c>
      <c r="F710" s="157">
        <f t="shared" si="78"/>
        <v>2244.6999999999998</v>
      </c>
      <c r="G710" s="7"/>
      <c r="H710" s="7"/>
      <c r="I710" s="7">
        <f>2295.7-51</f>
        <v>2244.6999999999998</v>
      </c>
      <c r="J710" s="7"/>
      <c r="K710" s="235"/>
    </row>
    <row r="711" spans="1:14" ht="15">
      <c r="A711" s="371"/>
      <c r="B711" s="232"/>
      <c r="C711" s="234"/>
      <c r="D711" s="234"/>
      <c r="E711" s="178">
        <v>2017</v>
      </c>
      <c r="F711" s="157">
        <f t="shared" si="78"/>
        <v>2244.8000000000002</v>
      </c>
      <c r="G711" s="7"/>
      <c r="H711" s="7"/>
      <c r="I711" s="7">
        <v>2244.8000000000002</v>
      </c>
      <c r="J711" s="7"/>
      <c r="K711" s="235"/>
      <c r="L711" s="99"/>
      <c r="N711" s="106"/>
    </row>
    <row r="712" spans="1:14" ht="15">
      <c r="A712" s="371"/>
      <c r="B712" s="232"/>
      <c r="C712" s="234"/>
      <c r="D712" s="234"/>
      <c r="E712" s="178">
        <v>2018</v>
      </c>
      <c r="F712" s="157">
        <f t="shared" si="78"/>
        <v>3340.4</v>
      </c>
      <c r="G712" s="7"/>
      <c r="H712" s="7"/>
      <c r="I712" s="7">
        <v>3340.4</v>
      </c>
      <c r="J712" s="7"/>
      <c r="K712" s="235"/>
      <c r="L712" s="99"/>
    </row>
    <row r="713" spans="1:14" ht="15">
      <c r="A713" s="371"/>
      <c r="B713" s="232"/>
      <c r="C713" s="234"/>
      <c r="D713" s="234"/>
      <c r="E713" s="178">
        <v>2019</v>
      </c>
      <c r="F713" s="157">
        <f t="shared" si="78"/>
        <v>1319.2</v>
      </c>
      <c r="G713" s="7"/>
      <c r="H713" s="7"/>
      <c r="I713" s="7">
        <v>1319.2</v>
      </c>
      <c r="J713" s="7"/>
      <c r="K713" s="235"/>
      <c r="L713" s="99"/>
    </row>
    <row r="714" spans="1:14" ht="15">
      <c r="A714" s="371"/>
      <c r="B714" s="232"/>
      <c r="C714" s="234"/>
      <c r="D714" s="234"/>
      <c r="E714" s="178">
        <v>2020</v>
      </c>
      <c r="F714" s="157">
        <f t="shared" si="78"/>
        <v>1319.2</v>
      </c>
      <c r="G714" s="7"/>
      <c r="H714" s="7"/>
      <c r="I714" s="7">
        <v>1319.2</v>
      </c>
      <c r="J714" s="7"/>
      <c r="K714" s="235"/>
    </row>
    <row r="715" spans="1:14" ht="15">
      <c r="A715" s="371"/>
      <c r="B715" s="232"/>
      <c r="C715" s="234"/>
      <c r="D715" s="234"/>
      <c r="E715" s="18" t="s">
        <v>18</v>
      </c>
      <c r="F715" s="141">
        <f>SUM(F709:F714)</f>
        <v>12733.600000000002</v>
      </c>
      <c r="G715" s="141"/>
      <c r="H715" s="141">
        <f>SUM(H709:H714)</f>
        <v>0</v>
      </c>
      <c r="I715" s="141">
        <f>SUM(I709:I714)</f>
        <v>12733.600000000002</v>
      </c>
      <c r="J715" s="157">
        <f>SUM(J709:J714)</f>
        <v>0</v>
      </c>
      <c r="K715" s="228"/>
    </row>
    <row r="716" spans="1:14" ht="25.5">
      <c r="A716" s="395" t="s">
        <v>204</v>
      </c>
      <c r="B716" s="396"/>
      <c r="C716" s="396"/>
      <c r="D716" s="396"/>
      <c r="E716" s="54" t="s">
        <v>61</v>
      </c>
      <c r="F716" s="141">
        <f>F715+F708+F701+F694</f>
        <v>52857.2</v>
      </c>
      <c r="G716" s="141"/>
      <c r="H716" s="141">
        <f>H715+H708+H701+H694</f>
        <v>0</v>
      </c>
      <c r="I716" s="141">
        <f>I715+I708+I701+I694</f>
        <v>47420.200000000004</v>
      </c>
      <c r="J716" s="141">
        <f>J715+J708+J701+J694</f>
        <v>5437</v>
      </c>
      <c r="K716" s="82"/>
      <c r="L716" s="126"/>
      <c r="M716" s="99"/>
      <c r="N716" s="99"/>
    </row>
    <row r="717" spans="1:14" ht="15.75" customHeight="1">
      <c r="A717" s="365" t="s">
        <v>234</v>
      </c>
      <c r="B717" s="366"/>
      <c r="C717" s="366"/>
      <c r="D717" s="366"/>
      <c r="E717" s="366"/>
      <c r="F717" s="366"/>
      <c r="G717" s="366"/>
      <c r="H717" s="366"/>
      <c r="I717" s="366"/>
      <c r="J717" s="366"/>
      <c r="K717" s="366"/>
    </row>
    <row r="718" spans="1:14" ht="15">
      <c r="A718" s="363" t="s">
        <v>110</v>
      </c>
      <c r="B718" s="231" t="s">
        <v>111</v>
      </c>
      <c r="C718" s="233" t="s">
        <v>61</v>
      </c>
      <c r="D718" s="281" t="s">
        <v>218</v>
      </c>
      <c r="E718" s="178">
        <v>2015</v>
      </c>
      <c r="F718" s="157">
        <f t="shared" ref="F718:F723" si="79">SUM(G718:I718)</f>
        <v>2070.1</v>
      </c>
      <c r="G718" s="7"/>
      <c r="H718" s="7"/>
      <c r="I718" s="7">
        <v>2070.1</v>
      </c>
      <c r="J718" s="14"/>
      <c r="K718" s="281" t="s">
        <v>1</v>
      </c>
    </row>
    <row r="719" spans="1:14" ht="15">
      <c r="A719" s="371"/>
      <c r="B719" s="232"/>
      <c r="C719" s="234"/>
      <c r="D719" s="234"/>
      <c r="E719" s="178">
        <v>2016</v>
      </c>
      <c r="F719" s="157">
        <f t="shared" si="79"/>
        <v>2173.6</v>
      </c>
      <c r="G719" s="7"/>
      <c r="H719" s="7"/>
      <c r="I719" s="7">
        <v>2173.6</v>
      </c>
      <c r="J719" s="14"/>
      <c r="K719" s="281"/>
    </row>
    <row r="720" spans="1:14" ht="15">
      <c r="A720" s="371"/>
      <c r="B720" s="232"/>
      <c r="C720" s="234"/>
      <c r="D720" s="234"/>
      <c r="E720" s="178">
        <v>2017</v>
      </c>
      <c r="F720" s="157">
        <f t="shared" si="79"/>
        <v>2282.3000000000002</v>
      </c>
      <c r="G720" s="7"/>
      <c r="H720" s="7"/>
      <c r="I720" s="7">
        <v>2282.3000000000002</v>
      </c>
      <c r="J720" s="14"/>
      <c r="K720" s="281"/>
      <c r="L720" s="99"/>
    </row>
    <row r="721" spans="1:35" ht="15">
      <c r="A721" s="371"/>
      <c r="B721" s="232"/>
      <c r="C721" s="234"/>
      <c r="D721" s="234"/>
      <c r="E721" s="178">
        <v>2018</v>
      </c>
      <c r="F721" s="157">
        <f t="shared" si="79"/>
        <v>3145.8</v>
      </c>
      <c r="G721" s="7"/>
      <c r="H721" s="7"/>
      <c r="I721" s="7">
        <v>3145.8</v>
      </c>
      <c r="J721" s="14"/>
      <c r="K721" s="281"/>
      <c r="L721" s="99"/>
    </row>
    <row r="722" spans="1:35" ht="15">
      <c r="A722" s="371"/>
      <c r="B722" s="232"/>
      <c r="C722" s="234"/>
      <c r="D722" s="234"/>
      <c r="E722" s="178">
        <v>2019</v>
      </c>
      <c r="F722" s="157">
        <f t="shared" si="79"/>
        <v>817</v>
      </c>
      <c r="G722" s="7"/>
      <c r="H722" s="7"/>
      <c r="I722" s="7">
        <v>817</v>
      </c>
      <c r="J722" s="14"/>
      <c r="K722" s="281"/>
      <c r="L722" s="99"/>
    </row>
    <row r="723" spans="1:35" ht="15">
      <c r="A723" s="371"/>
      <c r="B723" s="232"/>
      <c r="C723" s="234"/>
      <c r="D723" s="234"/>
      <c r="E723" s="178">
        <v>2020</v>
      </c>
      <c r="F723" s="157">
        <f t="shared" si="79"/>
        <v>817</v>
      </c>
      <c r="G723" s="7"/>
      <c r="H723" s="7"/>
      <c r="I723" s="7">
        <v>817</v>
      </c>
      <c r="J723" s="14"/>
      <c r="K723" s="281"/>
    </row>
    <row r="724" spans="1:35" ht="14.25">
      <c r="A724" s="371"/>
      <c r="B724" s="232"/>
      <c r="C724" s="234"/>
      <c r="D724" s="234"/>
      <c r="E724" s="18" t="s">
        <v>18</v>
      </c>
      <c r="F724" s="141">
        <f>SUM(F718:F723)</f>
        <v>11305.8</v>
      </c>
      <c r="G724" s="8"/>
      <c r="H724" s="8"/>
      <c r="I724" s="8">
        <f>SUM(I718:I723)</f>
        <v>11305.8</v>
      </c>
      <c r="J724" s="13"/>
      <c r="K724" s="281"/>
    </row>
    <row r="725" spans="1:35" ht="25.5">
      <c r="A725" s="373" t="s">
        <v>207</v>
      </c>
      <c r="B725" s="339"/>
      <c r="C725" s="339"/>
      <c r="D725" s="339"/>
      <c r="E725" s="54" t="s">
        <v>61</v>
      </c>
      <c r="F725" s="141">
        <f>F724</f>
        <v>11305.8</v>
      </c>
      <c r="G725" s="141"/>
      <c r="H725" s="141">
        <f>H724</f>
        <v>0</v>
      </c>
      <c r="I725" s="141">
        <f>I724</f>
        <v>11305.8</v>
      </c>
      <c r="J725" s="16"/>
      <c r="K725" s="82"/>
      <c r="L725" s="118"/>
      <c r="M725" s="99"/>
    </row>
    <row r="726" spans="1:35" ht="47.25">
      <c r="A726" s="380" t="s">
        <v>214</v>
      </c>
      <c r="B726" s="381"/>
      <c r="C726" s="381"/>
      <c r="D726" s="382"/>
      <c r="E726" s="205" t="s">
        <v>61</v>
      </c>
      <c r="F726" s="205" t="s">
        <v>18</v>
      </c>
      <c r="G726" s="206" t="s">
        <v>10</v>
      </c>
      <c r="H726" s="207" t="s">
        <v>11</v>
      </c>
      <c r="I726" s="207" t="s">
        <v>12</v>
      </c>
      <c r="J726" s="207" t="s">
        <v>13</v>
      </c>
      <c r="K726" s="208"/>
      <c r="L726" s="126"/>
      <c r="M726" s="127"/>
      <c r="N726" s="127"/>
    </row>
    <row r="727" spans="1:35" ht="16.5" thickBot="1">
      <c r="A727" s="383"/>
      <c r="B727" s="384"/>
      <c r="C727" s="384"/>
      <c r="D727" s="385"/>
      <c r="E727" s="86"/>
      <c r="F727" s="141">
        <f>F725+F716</f>
        <v>64163</v>
      </c>
      <c r="G727" s="141"/>
      <c r="H727" s="141">
        <f>H725+H716</f>
        <v>0</v>
      </c>
      <c r="I727" s="141">
        <f>I725+I716</f>
        <v>58726</v>
      </c>
      <c r="J727" s="141">
        <f>J725+J716</f>
        <v>5437</v>
      </c>
      <c r="K727" s="51"/>
    </row>
    <row r="728" spans="1:35" ht="18">
      <c r="A728" s="406" t="s">
        <v>321</v>
      </c>
      <c r="B728" s="372"/>
      <c r="C728" s="372"/>
      <c r="D728" s="372"/>
      <c r="E728" s="372"/>
      <c r="F728" s="372"/>
      <c r="G728" s="372"/>
      <c r="H728" s="372"/>
      <c r="I728" s="372"/>
      <c r="J728" s="372"/>
      <c r="K728" s="372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38"/>
      <c r="X728" s="38"/>
      <c r="Y728" s="38"/>
      <c r="Z728" s="38"/>
      <c r="AA728" s="38"/>
      <c r="AB728" s="38"/>
      <c r="AC728" s="38"/>
      <c r="AD728" s="38"/>
      <c r="AE728" s="38"/>
      <c r="AF728" s="38"/>
      <c r="AG728" s="38"/>
      <c r="AH728" s="38"/>
      <c r="AI728" s="39"/>
    </row>
    <row r="729" spans="1:35" ht="30" customHeight="1" thickBot="1">
      <c r="A729" s="365" t="s">
        <v>322</v>
      </c>
      <c r="B729" s="366"/>
      <c r="C729" s="366"/>
      <c r="D729" s="366"/>
      <c r="E729" s="312"/>
      <c r="F729" s="312"/>
      <c r="G729" s="312"/>
      <c r="H729" s="312"/>
      <c r="I729" s="312"/>
      <c r="J729" s="312"/>
      <c r="K729" s="312"/>
      <c r="L729" s="57"/>
      <c r="M729" s="57"/>
      <c r="N729" s="57"/>
      <c r="O729" s="57"/>
      <c r="P729" s="57"/>
      <c r="Q729" s="57"/>
      <c r="R729" s="57"/>
      <c r="S729" s="57"/>
      <c r="T729" s="57"/>
      <c r="U729" s="57"/>
      <c r="V729" s="57"/>
      <c r="W729" s="83"/>
      <c r="X729" s="83"/>
      <c r="Y729" s="83"/>
      <c r="Z729" s="83"/>
      <c r="AA729" s="83"/>
      <c r="AB729" s="83"/>
      <c r="AC729" s="83"/>
      <c r="AD729" s="83"/>
      <c r="AE729" s="83"/>
      <c r="AF729" s="83"/>
      <c r="AG729" s="83"/>
      <c r="AH729" s="83"/>
      <c r="AI729" s="84"/>
    </row>
    <row r="730" spans="1:35" ht="18" customHeight="1">
      <c r="A730" s="350" t="s">
        <v>103</v>
      </c>
      <c r="B730" s="368" t="s">
        <v>323</v>
      </c>
      <c r="C730" s="233" t="s">
        <v>313</v>
      </c>
      <c r="D730" s="227" t="s">
        <v>218</v>
      </c>
      <c r="E730" s="178">
        <v>2017</v>
      </c>
      <c r="F730" s="143">
        <f t="shared" ref="F730:F733" si="80">SUM(G730:J730)</f>
        <v>28240.7</v>
      </c>
      <c r="G730" s="7"/>
      <c r="H730" s="7"/>
      <c r="I730" s="7">
        <f>25971.2+2269.5</f>
        <v>28240.7</v>
      </c>
      <c r="J730" s="7">
        <v>0</v>
      </c>
      <c r="K730" s="397" t="s">
        <v>401</v>
      </c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</row>
    <row r="731" spans="1:35" ht="18" customHeight="1">
      <c r="A731" s="351"/>
      <c r="B731" s="369"/>
      <c r="C731" s="234"/>
      <c r="D731" s="229"/>
      <c r="E731" s="178">
        <v>2018</v>
      </c>
      <c r="F731" s="157">
        <f t="shared" si="80"/>
        <v>28601</v>
      </c>
      <c r="G731" s="7"/>
      <c r="H731" s="7"/>
      <c r="I731" s="7">
        <v>28601</v>
      </c>
      <c r="J731" s="7">
        <v>0</v>
      </c>
      <c r="K731" s="509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</row>
    <row r="732" spans="1:35" ht="18" customHeight="1">
      <c r="A732" s="351"/>
      <c r="B732" s="369"/>
      <c r="C732" s="234"/>
      <c r="D732" s="229"/>
      <c r="E732" s="178">
        <v>2019</v>
      </c>
      <c r="F732" s="157">
        <f t="shared" si="80"/>
        <v>20228</v>
      </c>
      <c r="G732" s="7"/>
      <c r="H732" s="7"/>
      <c r="I732" s="7">
        <v>20228</v>
      </c>
      <c r="J732" s="7">
        <v>0</v>
      </c>
      <c r="K732" s="509"/>
      <c r="L732" s="99"/>
    </row>
    <row r="733" spans="1:35" ht="18" customHeight="1">
      <c r="A733" s="351"/>
      <c r="B733" s="369"/>
      <c r="C733" s="234"/>
      <c r="D733" s="229"/>
      <c r="E733" s="178">
        <v>2020</v>
      </c>
      <c r="F733" s="157">
        <f t="shared" si="80"/>
        <v>14880</v>
      </c>
      <c r="G733" s="7"/>
      <c r="H733" s="7"/>
      <c r="I733" s="7">
        <v>14880</v>
      </c>
      <c r="J733" s="7">
        <v>0</v>
      </c>
      <c r="K733" s="509"/>
      <c r="L733" s="99"/>
    </row>
    <row r="734" spans="1:35" ht="18" customHeight="1">
      <c r="A734" s="367"/>
      <c r="B734" s="370"/>
      <c r="C734" s="290"/>
      <c r="D734" s="229"/>
      <c r="E734" s="18" t="s">
        <v>18</v>
      </c>
      <c r="F734" s="142">
        <f>SUM(F730:F733)</f>
        <v>91949.7</v>
      </c>
      <c r="G734" s="142"/>
      <c r="H734" s="142">
        <f>SUM(H730:H733)</f>
        <v>0</v>
      </c>
      <c r="I734" s="142">
        <f>SUM(I730:I733)</f>
        <v>91949.7</v>
      </c>
      <c r="J734" s="142">
        <f>SUM(J730:J733)</f>
        <v>0</v>
      </c>
      <c r="K734" s="510"/>
    </row>
    <row r="735" spans="1:35" ht="25.5">
      <c r="A735" s="325" t="s">
        <v>204</v>
      </c>
      <c r="B735" s="326"/>
      <c r="C735" s="326"/>
      <c r="D735" s="326"/>
      <c r="E735" s="6" t="s">
        <v>313</v>
      </c>
      <c r="F735" s="159">
        <f>SUM(F730:F733)</f>
        <v>91949.7</v>
      </c>
      <c r="G735" s="148"/>
      <c r="H735" s="8">
        <f>SUM(H730:H733)</f>
        <v>0</v>
      </c>
      <c r="I735" s="8">
        <f>SUM(I730:I733)</f>
        <v>91949.7</v>
      </c>
      <c r="J735" s="148"/>
      <c r="K735" s="6"/>
    </row>
    <row r="736" spans="1:35" ht="18" customHeight="1" thickBot="1">
      <c r="A736" s="365" t="s">
        <v>324</v>
      </c>
      <c r="B736" s="366"/>
      <c r="C736" s="366"/>
      <c r="D736" s="366"/>
      <c r="E736" s="312"/>
      <c r="F736" s="312"/>
      <c r="G736" s="312"/>
      <c r="H736" s="312"/>
      <c r="I736" s="312"/>
      <c r="J736" s="312"/>
      <c r="K736" s="312"/>
      <c r="L736" s="57"/>
      <c r="M736" s="57"/>
      <c r="N736" s="57"/>
      <c r="O736" s="57"/>
      <c r="P736" s="57"/>
      <c r="Q736" s="57"/>
      <c r="R736" s="57"/>
      <c r="S736" s="57"/>
      <c r="T736" s="57"/>
      <c r="U736" s="57"/>
      <c r="V736" s="57"/>
      <c r="W736" s="83"/>
      <c r="X736" s="83"/>
      <c r="Y736" s="83"/>
      <c r="Z736" s="83"/>
      <c r="AA736" s="83"/>
      <c r="AB736" s="83"/>
      <c r="AC736" s="83"/>
      <c r="AD736" s="83"/>
      <c r="AE736" s="83"/>
      <c r="AF736" s="83"/>
      <c r="AG736" s="83"/>
      <c r="AH736" s="83"/>
      <c r="AI736" s="84"/>
    </row>
    <row r="737" spans="1:35" ht="18" customHeight="1">
      <c r="A737" s="350" t="s">
        <v>110</v>
      </c>
      <c r="B737" s="368" t="s">
        <v>328</v>
      </c>
      <c r="C737" s="233" t="s">
        <v>313</v>
      </c>
      <c r="D737" s="227" t="s">
        <v>218</v>
      </c>
      <c r="E737" s="178">
        <v>2017</v>
      </c>
      <c r="F737" s="143">
        <f t="shared" ref="F737:F740" si="81">SUM(G737:J737)</f>
        <v>21630.400000000001</v>
      </c>
      <c r="G737" s="7"/>
      <c r="H737" s="7"/>
      <c r="I737" s="7">
        <f>20880.4+750</f>
        <v>21630.400000000001</v>
      </c>
      <c r="J737" s="7">
        <v>0</v>
      </c>
      <c r="K737" s="397" t="s">
        <v>402</v>
      </c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</row>
    <row r="738" spans="1:35" ht="18" customHeight="1">
      <c r="A738" s="351"/>
      <c r="B738" s="369"/>
      <c r="C738" s="234"/>
      <c r="D738" s="229"/>
      <c r="E738" s="178">
        <v>2018</v>
      </c>
      <c r="F738" s="157">
        <f t="shared" si="81"/>
        <v>23157.1</v>
      </c>
      <c r="G738" s="7"/>
      <c r="H738" s="7"/>
      <c r="I738" s="7">
        <v>23157.1</v>
      </c>
      <c r="J738" s="7">
        <v>0</v>
      </c>
      <c r="K738" s="39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</row>
    <row r="739" spans="1:35" ht="18" customHeight="1">
      <c r="A739" s="351"/>
      <c r="B739" s="369"/>
      <c r="C739" s="234"/>
      <c r="D739" s="229"/>
      <c r="E739" s="178">
        <v>2019</v>
      </c>
      <c r="F739" s="157">
        <f t="shared" si="81"/>
        <v>18713</v>
      </c>
      <c r="G739" s="7"/>
      <c r="H739" s="7"/>
      <c r="I739" s="7">
        <v>18713</v>
      </c>
      <c r="J739" s="7">
        <v>0</v>
      </c>
      <c r="K739" s="398"/>
      <c r="L739" s="99"/>
    </row>
    <row r="740" spans="1:35" ht="18" customHeight="1">
      <c r="A740" s="351"/>
      <c r="B740" s="369"/>
      <c r="C740" s="234"/>
      <c r="D740" s="229"/>
      <c r="E740" s="178">
        <v>2020</v>
      </c>
      <c r="F740" s="157">
        <f t="shared" si="81"/>
        <v>17264.3</v>
      </c>
      <c r="G740" s="7"/>
      <c r="H740" s="7"/>
      <c r="I740" s="7">
        <v>17264.3</v>
      </c>
      <c r="J740" s="7">
        <v>0</v>
      </c>
      <c r="K740" s="398"/>
      <c r="L740" s="99"/>
    </row>
    <row r="741" spans="1:35" ht="18" customHeight="1">
      <c r="A741" s="367"/>
      <c r="B741" s="370"/>
      <c r="C741" s="290"/>
      <c r="D741" s="229"/>
      <c r="E741" s="18" t="s">
        <v>18</v>
      </c>
      <c r="F741" s="142">
        <f>SUM(F737:F740)</f>
        <v>80764.800000000003</v>
      </c>
      <c r="G741" s="142"/>
      <c r="H741" s="142">
        <f>SUM(H737:H740)</f>
        <v>0</v>
      </c>
      <c r="I741" s="142">
        <f>SUM(I737:I740)</f>
        <v>80764.800000000003</v>
      </c>
      <c r="J741" s="142">
        <f>SUM(J737:J740)</f>
        <v>0</v>
      </c>
      <c r="K741" s="399"/>
    </row>
    <row r="742" spans="1:35" ht="25.5">
      <c r="A742" s="325" t="s">
        <v>207</v>
      </c>
      <c r="B742" s="326"/>
      <c r="C742" s="326"/>
      <c r="D742" s="326"/>
      <c r="E742" s="6" t="s">
        <v>313</v>
      </c>
      <c r="F742" s="159">
        <f>SUM(F737:F740)</f>
        <v>80764.800000000003</v>
      </c>
      <c r="G742" s="148"/>
      <c r="H742" s="8">
        <f>SUM(H737:H740)</f>
        <v>0</v>
      </c>
      <c r="I742" s="8">
        <f>SUM(I737:I740)</f>
        <v>80764.800000000003</v>
      </c>
      <c r="J742" s="148"/>
      <c r="K742" s="6"/>
    </row>
    <row r="743" spans="1:35" ht="30" customHeight="1" thickBot="1">
      <c r="A743" s="365" t="s">
        <v>325</v>
      </c>
      <c r="B743" s="366"/>
      <c r="C743" s="366"/>
      <c r="D743" s="366"/>
      <c r="E743" s="312"/>
      <c r="F743" s="312"/>
      <c r="G743" s="312"/>
      <c r="H743" s="312"/>
      <c r="I743" s="312"/>
      <c r="J743" s="312"/>
      <c r="K743" s="312"/>
      <c r="L743" s="57"/>
      <c r="M743" s="57"/>
      <c r="N743" s="57"/>
      <c r="O743" s="57"/>
      <c r="P743" s="57"/>
      <c r="Q743" s="57"/>
      <c r="R743" s="57"/>
      <c r="S743" s="57"/>
      <c r="T743" s="57"/>
      <c r="U743" s="57"/>
      <c r="V743" s="57"/>
      <c r="W743" s="83"/>
      <c r="X743" s="83"/>
      <c r="Y743" s="83"/>
      <c r="Z743" s="83"/>
      <c r="AA743" s="83"/>
      <c r="AB743" s="83"/>
      <c r="AC743" s="83"/>
      <c r="AD743" s="83"/>
      <c r="AE743" s="83"/>
      <c r="AF743" s="83"/>
      <c r="AG743" s="83"/>
      <c r="AH743" s="83"/>
      <c r="AI743" s="84"/>
    </row>
    <row r="744" spans="1:35" ht="18" customHeight="1">
      <c r="A744" s="350" t="s">
        <v>405</v>
      </c>
      <c r="B744" s="368" t="s">
        <v>326</v>
      </c>
      <c r="C744" s="233" t="s">
        <v>313</v>
      </c>
      <c r="D744" s="227" t="s">
        <v>218</v>
      </c>
      <c r="E744" s="178">
        <v>2017</v>
      </c>
      <c r="F744" s="143">
        <f t="shared" ref="F744:F747" si="82">SUM(G744:J744)</f>
        <v>10020.200000000001</v>
      </c>
      <c r="G744" s="7"/>
      <c r="H744" s="7"/>
      <c r="I744" s="7">
        <f>9704.7+315.5</f>
        <v>10020.200000000001</v>
      </c>
      <c r="J744" s="7">
        <v>0</v>
      </c>
      <c r="K744" s="397" t="s">
        <v>403</v>
      </c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</row>
    <row r="745" spans="1:35" ht="18" customHeight="1">
      <c r="A745" s="351"/>
      <c r="B745" s="369"/>
      <c r="C745" s="234"/>
      <c r="D745" s="229"/>
      <c r="E745" s="178">
        <v>2018</v>
      </c>
      <c r="F745" s="157">
        <f t="shared" si="82"/>
        <v>10014.299999999999</v>
      </c>
      <c r="G745" s="7"/>
      <c r="H745" s="7"/>
      <c r="I745" s="7">
        <v>10014.299999999999</v>
      </c>
      <c r="J745" s="7">
        <v>0</v>
      </c>
      <c r="K745" s="39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</row>
    <row r="746" spans="1:35" ht="18" customHeight="1">
      <c r="A746" s="351"/>
      <c r="B746" s="369"/>
      <c r="C746" s="234"/>
      <c r="D746" s="229"/>
      <c r="E746" s="178">
        <v>2019</v>
      </c>
      <c r="F746" s="157">
        <f t="shared" si="82"/>
        <v>8861</v>
      </c>
      <c r="G746" s="7"/>
      <c r="H746" s="7"/>
      <c r="I746" s="7">
        <v>8861</v>
      </c>
      <c r="J746" s="7">
        <v>0</v>
      </c>
      <c r="K746" s="398"/>
      <c r="L746" s="99"/>
    </row>
    <row r="747" spans="1:35" ht="18" customHeight="1">
      <c r="A747" s="351"/>
      <c r="B747" s="369"/>
      <c r="C747" s="234"/>
      <c r="D747" s="229"/>
      <c r="E747" s="178">
        <v>2020</v>
      </c>
      <c r="F747" s="157">
        <f t="shared" si="82"/>
        <v>8390.4</v>
      </c>
      <c r="G747" s="7"/>
      <c r="H747" s="7"/>
      <c r="I747" s="7">
        <v>8390.4</v>
      </c>
      <c r="J747" s="7">
        <v>0</v>
      </c>
      <c r="K747" s="398"/>
      <c r="L747" s="99"/>
    </row>
    <row r="748" spans="1:35" ht="18" customHeight="1">
      <c r="A748" s="367"/>
      <c r="B748" s="370"/>
      <c r="C748" s="290"/>
      <c r="D748" s="229"/>
      <c r="E748" s="18" t="s">
        <v>18</v>
      </c>
      <c r="F748" s="141">
        <f>SUM(F744:F747)</f>
        <v>37285.9</v>
      </c>
      <c r="G748" s="141"/>
      <c r="H748" s="141">
        <f>SUM(H744:H747)</f>
        <v>0</v>
      </c>
      <c r="I748" s="141">
        <f>SUM(I744:I747)</f>
        <v>37285.9</v>
      </c>
      <c r="J748" s="141">
        <f>SUM(J744:J747)</f>
        <v>0</v>
      </c>
      <c r="K748" s="399"/>
    </row>
    <row r="749" spans="1:35" ht="26.25" thickBot="1">
      <c r="A749" s="325" t="s">
        <v>195</v>
      </c>
      <c r="B749" s="326"/>
      <c r="C749" s="326"/>
      <c r="D749" s="326"/>
      <c r="E749" s="6" t="s">
        <v>313</v>
      </c>
      <c r="F749" s="202">
        <f>SUM(F744:F747)</f>
        <v>37285.9</v>
      </c>
      <c r="G749" s="148"/>
      <c r="H749" s="9">
        <f>SUM(H744:H747)</f>
        <v>0</v>
      </c>
      <c r="I749" s="9">
        <f>SUM(I744:I747)</f>
        <v>37285.9</v>
      </c>
      <c r="J749" s="148"/>
      <c r="K749" s="6"/>
    </row>
    <row r="750" spans="1:35" ht="47.25">
      <c r="A750" s="400" t="s">
        <v>327</v>
      </c>
      <c r="B750" s="401"/>
      <c r="C750" s="401"/>
      <c r="D750" s="402"/>
      <c r="E750" s="214" t="s">
        <v>313</v>
      </c>
      <c r="F750" s="214" t="s">
        <v>18</v>
      </c>
      <c r="G750" s="215" t="s">
        <v>10</v>
      </c>
      <c r="H750" s="216" t="s">
        <v>11</v>
      </c>
      <c r="I750" s="216" t="s">
        <v>12</v>
      </c>
      <c r="J750" s="216" t="s">
        <v>13</v>
      </c>
      <c r="K750" s="217"/>
      <c r="L750" s="107"/>
      <c r="M750" s="99"/>
    </row>
    <row r="751" spans="1:35" ht="16.5" thickBot="1">
      <c r="A751" s="403"/>
      <c r="B751" s="404"/>
      <c r="C751" s="404"/>
      <c r="D751" s="405"/>
      <c r="E751" s="218"/>
      <c r="F751" s="213">
        <f>F749+F742+F735</f>
        <v>210000.40000000002</v>
      </c>
      <c r="G751" s="213"/>
      <c r="H751" s="213">
        <f>H749+H742+H735</f>
        <v>0</v>
      </c>
      <c r="I751" s="213">
        <f>I749+I742+I735</f>
        <v>210000.40000000002</v>
      </c>
      <c r="J751" s="147">
        <f>J749+J742+J735</f>
        <v>0</v>
      </c>
      <c r="K751" s="51"/>
    </row>
    <row r="752" spans="1:35" ht="47.25">
      <c r="A752" s="386" t="s">
        <v>112</v>
      </c>
      <c r="B752" s="387"/>
      <c r="C752" s="387"/>
      <c r="D752" s="388"/>
      <c r="E752" s="214" t="s">
        <v>126</v>
      </c>
      <c r="F752" s="214" t="s">
        <v>18</v>
      </c>
      <c r="G752" s="215" t="s">
        <v>10</v>
      </c>
      <c r="H752" s="216" t="s">
        <v>11</v>
      </c>
      <c r="I752" s="216" t="s">
        <v>12</v>
      </c>
      <c r="J752" s="168" t="s">
        <v>13</v>
      </c>
      <c r="K752" s="220"/>
    </row>
    <row r="753" spans="1:11" ht="15">
      <c r="A753" s="389"/>
      <c r="B753" s="390"/>
      <c r="C753" s="390"/>
      <c r="D753" s="391"/>
      <c r="E753" s="178">
        <v>2015</v>
      </c>
      <c r="F753" s="157">
        <f t="shared" ref="F753:F758" si="83">SUM(H753:J753)</f>
        <v>1157693.2999999998</v>
      </c>
      <c r="G753" s="7"/>
      <c r="H753" s="7">
        <f>H718+H709+H702+H695+H688+H667+H660+H653+H646+H639+H632+H625+H615+H608+H598+H591+H581+H574+H567+H560+H550+H543+H536+H529+H510+H500+H493+H486+H479+H469+H454+H436+H429+H422+H415+H407+H398+H386+H377+H363+H331+H324+H317+H295+H282+H252+H238+H217+H211+H204+H197+H152+H145+H109+H85+H57+H39+H32+H23+H16</f>
        <v>986489.1</v>
      </c>
      <c r="I753" s="7">
        <f>I16+I23+I32+I39+I57+I64+I71+I85+I101+I109+I119+I129+I136+I145+I152+I159+I166+I197+I204+I217+I238+I252+I282+I295+I307+I317+I324+I331+I363+I377+I386+I398+I407+I415+I422+I429+I454+I469+I479+I486+I493+I500+I510+I529+I536+I543+I550+I560+I567+I574+I581+I591+I598+I608+I615+I625+I632+I639+I646+I653+I660+I667+I688+I695+I702+I709+I718+I436+I461</f>
        <v>170563.49999999997</v>
      </c>
      <c r="J753" s="7">
        <f t="shared" ref="J753:J758" si="84">J16+J23+J32+J39+J57+J64+J71+J85+J101+J109+J119+J129+J136+J145+J152+J159+J166+J197+J204+J217+J238+J252+J282+J295+J307+J317+J324+J331+J363+J377+J386+J398+J407+J415+J422+J429+J454+J469+J479+J486+J493+J500+J510+J529+J536+J543+J550+J560+J567+J574+J581+J591+J598+J608+J615+J625+J632+J639+J646+J653+J660+J667+J688+J695+J702+J709+J718</f>
        <v>640.69999999999993</v>
      </c>
      <c r="K753" s="377"/>
    </row>
    <row r="754" spans="1:11" ht="15">
      <c r="A754" s="389"/>
      <c r="B754" s="390"/>
      <c r="C754" s="390"/>
      <c r="D754" s="391"/>
      <c r="E754" s="178">
        <v>2016</v>
      </c>
      <c r="F754" s="157">
        <f t="shared" si="83"/>
        <v>1134983.6000000001</v>
      </c>
      <c r="G754" s="7"/>
      <c r="H754" s="7">
        <f>H17+H24+H33+H40+H58+H65+H72+H86+H102+H110+H120+H130+H137+H146+H153+H160+H167+H198+H205+H218+H239+H253+H283+H296+H308+H318+H325+H332+H364+H378+H387+H399+H408+H416+H423+H430+H455+H470+H480+H487+H494+H501+H511+H530+H537+H544+H551+H561+H568+H575+H582+H592+H599+H609+H616+H626+H633+H640+H647+H654+H661+H668+H689+H696+H703+H710+H719+H339+H187+H46+H224+H345</f>
        <v>934993.5</v>
      </c>
      <c r="I754" s="7">
        <f>I17+I24+I33+I40+I58+I65+I72+I86+I102+I110+I120+I130+I137+I146+I153+I160+I167+I198+I205+I218+I239+I253+I283+I296+I308+I318+I325+I332+I364+I378+I387+I399+I408+I416+I423+I430+I455+I470+I480+I487+I494+I501+I511+I530+I537+I544+I551+I561+I568+I575+I582+I592+I599+I609+I616+I626+I633+I640+I647+I654+I661+I668+I689+I696+I703+I710+I719+I462+I443+I245+I93+I339+I224+I46+I345</f>
        <v>199061.29999999996</v>
      </c>
      <c r="J754" s="7">
        <f t="shared" si="84"/>
        <v>928.79999999999984</v>
      </c>
      <c r="K754" s="378"/>
    </row>
    <row r="755" spans="1:11" ht="15">
      <c r="A755" s="389"/>
      <c r="B755" s="390"/>
      <c r="C755" s="390"/>
      <c r="D755" s="391"/>
      <c r="E755" s="178">
        <v>2017</v>
      </c>
      <c r="F755" s="157">
        <f t="shared" si="83"/>
        <v>1454809.5</v>
      </c>
      <c r="G755" s="7"/>
      <c r="H755" s="7">
        <f>H18+H25+H34+H41+H47+H50+H59+H66+H73+H78+H87+H94+H103+H111+H121+H131+H138+H147+H154+H161+H168+H188+H199+H206+H213+H219+H225+H228+H230+H233+H240+H246+H254+H259+H264+H269+H274+H284+H289+H297+H302+H309+H319+H326+H333+H340+H346+H351+H356+H365+H370+H379+H388+H400+H409+H417+H424+H431+H438+H444+H449+H456+H463+H471+H481+H488+H495+H502+H512+H519+H531+H538+H545+H552+H562+H569+H576+H583+H593+H600+H610+H617+H627+H634+H641+H648+H655+H662+H669+H676+H690+H697+H704+H711+H720+H730+H737+H744</f>
        <v>1075219.2</v>
      </c>
      <c r="I755" s="7">
        <f>I18+I25+I34+I41+I47+I50+I59+I66+I73+I78+I87+I94+I103+I111+I121+I131+I138+I147+I154+I161+I168+I188+I199+I206+I213+I219+I225+I228+I230+I233+I240+I246+I254+I259+I264+I269+I274+I284+I289+I297+I302+I309+I319+I326+I333+I340+I346+I351+I356+I365+I370+I379+I388+I400+I409+I417+I424+I431+I438+I444+I449+I456+I463+I471+I481+I488+I495+I502+I512+I519+I531+I538+I545+I552+I562+I569+I576+I583+I593+I600+I610+I617+I627+I634+I641+I648+I655+I662+I669+I676+I690+I697+I704+I711+I720+I730+I737+I744+I53</f>
        <v>378497.69999999995</v>
      </c>
      <c r="J755" s="7">
        <f t="shared" si="84"/>
        <v>1092.5999999999999</v>
      </c>
      <c r="K755" s="378"/>
    </row>
    <row r="756" spans="1:11" ht="15">
      <c r="A756" s="389"/>
      <c r="B756" s="390"/>
      <c r="C756" s="390"/>
      <c r="D756" s="391"/>
      <c r="E756" s="178">
        <v>2018</v>
      </c>
      <c r="F756" s="157">
        <f t="shared" si="83"/>
        <v>1559849.4000000001</v>
      </c>
      <c r="G756" s="7"/>
      <c r="H756" s="7">
        <f>H19+H26+H35+H42+H60+H67+H74+H88+H104+H112+H122+H132+H139+H148+H155+H162+H169+H200+H207+H220+H241+H255+H285+H298+H310+H320+H327+H334+H366+H380+H389+H401+H410+H418+H425+H432+H457+H472+H482+H489+H496+H503+H513+H532+H539+H546+H553+H563+H570+H577+H584+H594+H601+H611+H618+H628+H635+H642+H649+H656+H663+H670+H691+H698+H705+H712+H721+H189+H214+H79+H265+H290+H303+H352+H520+H48+H51+H226+H235</f>
        <v>1187546.1000000001</v>
      </c>
      <c r="I756" s="7">
        <f>I19+I26+I35+I42+I60+I67+I74+I88+I104+I112+I122+I132+I139+I148+I155+I162+I169+I200+I207+I220+I241+I255+I285+I298+I310+I320+I327+I334+I366+I380+I389+I401+I410+I418+I425+I432+I457+I472+I482+I489+I496+I503+I513+I532+I539+I546+I553+I563+I570+I577+I584+I594+I601+I611+I618+I628+I635+I642+I649+I656+I663+I670+I691+I698+I705+I712+I721+I464+I95+I247+I341+I347+I445+I214+I51+I745+I738+I731+I677+I371+I357+I275+I270+I265+I235+I231+I48</f>
        <v>370285.1</v>
      </c>
      <c r="J756" s="7">
        <f t="shared" si="84"/>
        <v>2018.2</v>
      </c>
      <c r="K756" s="378"/>
    </row>
    <row r="757" spans="1:11" ht="15">
      <c r="A757" s="389"/>
      <c r="B757" s="390"/>
      <c r="C757" s="390"/>
      <c r="D757" s="391"/>
      <c r="E757" s="178">
        <v>2019</v>
      </c>
      <c r="F757" s="157">
        <f t="shared" si="83"/>
        <v>1278836.1000000003</v>
      </c>
      <c r="G757" s="7"/>
      <c r="H757" s="7">
        <f>H20+H27+H36+H43+H61+H68+H75+H89+H105+H113+H123+H133+H140+H149+H156+H163+H170+H201+H208+H221+H242+H256+H286+H299+H311+H321+H328+H335+H367+H381+H390+H402+H411+H419+H426+H433+H458+H473+H483+H490+H497+H504+H514+H533+H540+H547+H554+H564+H571+H578+H585+H595+H602+H612+H619+H629+H636+H643+H650+H657+H664+H671+H692+H699+H706+H713+H722+H190+H521+H353+H304+H291+H266+H80</f>
        <v>1130668.7000000002</v>
      </c>
      <c r="I757" s="7">
        <f>I20+I27+I36+I43+I61+I68+I75+I89+I105+I113+I123+I133+I140+I149+I156+I163+I170+I201+I208+I221+I242+I256+I286+I299+I311+I321+I328+I335+I367+I381+I390+I402+I411+I419+I426+I433+I458+I473+I483+I490+I497+I504+I514+I533+I540+I547+I554+I564+I571+I578+I585+I595+I602+I612+I619+I629+I636+I643+I650+I657+I664+I671+I692+I699+I706+I713+I722+I465+I96+I248+I342+I348+I446+I746+I739+I732+I678+I372+I271+I266</f>
        <v>147798.30000000002</v>
      </c>
      <c r="J757" s="7">
        <f t="shared" si="84"/>
        <v>369.1</v>
      </c>
      <c r="K757" s="378"/>
    </row>
    <row r="758" spans="1:11" ht="15">
      <c r="A758" s="389"/>
      <c r="B758" s="390"/>
      <c r="C758" s="390"/>
      <c r="D758" s="391"/>
      <c r="E758" s="178">
        <v>2020</v>
      </c>
      <c r="F758" s="157">
        <f t="shared" si="83"/>
        <v>1272625.2000000002</v>
      </c>
      <c r="G758" s="7"/>
      <c r="H758" s="7">
        <f>H21+H28+H37+H44+H62+H69+H76+H90+H106+H114+H124+H134+H141+H150+H157+H164+H171+H202+H209+H222+H243+H257+H287+H300+H312+H322+H329+H336+H368+H382+H391+H403+H412+H420+H427+H434+H459+H474+H484+H491+H498+H505+H515+H534+H541+H548+H555+H565+H572+H579+H586+H596+H603+H613+H620+H630+H637+H644+H651+H658+H665+H672+H693+H700+H707+H714+H723+H522+H354+H305+H292+H267+H191+H81</f>
        <v>1135635.8</v>
      </c>
      <c r="I758" s="7">
        <f>I21+I28+I37+I44+I62+I69+I76+I90+I106+I114+I124+I134+I141+I150+I157+I164+I171+I202+I209+I222+I243+I257+I287+I300+I312+I322+I329+I336+I368+I382+I391+I403+I412+I420+I427+I434+I459+I474+I484+I491+I498+I505+I515+I534+I541+I548+I555+I565+I572+I579+I586+I596+I603+I613+I620+I630+I637+I644+I651+I658+I665+I672+I693+I700+I707+I714+I723+I466+I747+I740+I733+I373+I343+I272+I267</f>
        <v>136601.79999999999</v>
      </c>
      <c r="J758" s="7">
        <f t="shared" si="84"/>
        <v>387.59999999999997</v>
      </c>
      <c r="K758" s="378"/>
    </row>
    <row r="759" spans="1:11" ht="15.75" customHeight="1" thickBot="1">
      <c r="A759" s="392"/>
      <c r="B759" s="393"/>
      <c r="C759" s="393"/>
      <c r="D759" s="394"/>
      <c r="E759" s="183" t="s">
        <v>127</v>
      </c>
      <c r="F759" s="219">
        <f>SUM(F753:F758)</f>
        <v>7858797.1000000006</v>
      </c>
      <c r="G759" s="184"/>
      <c r="H759" s="184">
        <f>SUM(H753:H758)</f>
        <v>6450552.3999999994</v>
      </c>
      <c r="I759" s="184">
        <f>SUM(I753:I758)</f>
        <v>1402807.7</v>
      </c>
      <c r="J759" s="184">
        <f>SUM(J753:J758)</f>
        <v>5437</v>
      </c>
      <c r="K759" s="379"/>
    </row>
    <row r="761" spans="1:11">
      <c r="I761" s="85"/>
    </row>
    <row r="764" spans="1:11">
      <c r="H764" s="107"/>
      <c r="I764" s="107"/>
    </row>
  </sheetData>
  <mergeCells count="613">
    <mergeCell ref="A394:D395"/>
    <mergeCell ref="A525:D526"/>
    <mergeCell ref="A684:D685"/>
    <mergeCell ref="B370:B374"/>
    <mergeCell ref="C370:C374"/>
    <mergeCell ref="D370:D374"/>
    <mergeCell ref="K370:K374"/>
    <mergeCell ref="A375:D375"/>
    <mergeCell ref="A376:K376"/>
    <mergeCell ref="A377:A383"/>
    <mergeCell ref="B377:B383"/>
    <mergeCell ref="C377:C383"/>
    <mergeCell ref="D377:D383"/>
    <mergeCell ref="K377:K383"/>
    <mergeCell ref="A385:K385"/>
    <mergeCell ref="B386:B392"/>
    <mergeCell ref="C386:C392"/>
    <mergeCell ref="D386:D392"/>
    <mergeCell ref="A384:D384"/>
    <mergeCell ref="K386:K392"/>
    <mergeCell ref="K415:K421"/>
    <mergeCell ref="K398:K404"/>
    <mergeCell ref="A405:K405"/>
    <mergeCell ref="A406:K406"/>
    <mergeCell ref="A729:K729"/>
    <mergeCell ref="A730:A734"/>
    <mergeCell ref="B730:B734"/>
    <mergeCell ref="C730:C734"/>
    <mergeCell ref="D730:D734"/>
    <mergeCell ref="K730:K734"/>
    <mergeCell ref="A598:A604"/>
    <mergeCell ref="B598:B604"/>
    <mergeCell ref="C598:C604"/>
    <mergeCell ref="D598:D604"/>
    <mergeCell ref="K615:K621"/>
    <mergeCell ref="K608:K614"/>
    <mergeCell ref="K639:K666"/>
    <mergeCell ref="C676:C682"/>
    <mergeCell ref="A605:D605"/>
    <mergeCell ref="B702:B708"/>
    <mergeCell ref="C702:C708"/>
    <mergeCell ref="D702:D708"/>
    <mergeCell ref="D695:D701"/>
    <mergeCell ref="K676:K682"/>
    <mergeCell ref="D676:D682"/>
    <mergeCell ref="A639:A645"/>
    <mergeCell ref="B639:B645"/>
    <mergeCell ref="C639:C645"/>
    <mergeCell ref="K363:K369"/>
    <mergeCell ref="K688:K715"/>
    <mergeCell ref="D709:D715"/>
    <mergeCell ref="D632:D638"/>
    <mergeCell ref="C632:C638"/>
    <mergeCell ref="A632:A638"/>
    <mergeCell ref="A414:K414"/>
    <mergeCell ref="A415:A421"/>
    <mergeCell ref="B415:B421"/>
    <mergeCell ref="C415:C421"/>
    <mergeCell ref="A451:D451"/>
    <mergeCell ref="A443:A448"/>
    <mergeCell ref="K422:K428"/>
    <mergeCell ref="A429:A435"/>
    <mergeCell ref="B429:B435"/>
    <mergeCell ref="C429:C435"/>
    <mergeCell ref="D429:D435"/>
    <mergeCell ref="K429:K435"/>
    <mergeCell ref="A422:A428"/>
    <mergeCell ref="B422:B428"/>
    <mergeCell ref="C422:C428"/>
    <mergeCell ref="D422:D428"/>
    <mergeCell ref="A436:A442"/>
    <mergeCell ref="D415:D421"/>
    <mergeCell ref="A407:A413"/>
    <mergeCell ref="B407:B413"/>
    <mergeCell ref="C407:C413"/>
    <mergeCell ref="D407:D413"/>
    <mergeCell ref="K407:K413"/>
    <mergeCell ref="A398:A404"/>
    <mergeCell ref="B398:B404"/>
    <mergeCell ref="C398:C404"/>
    <mergeCell ref="D398:D404"/>
    <mergeCell ref="A251:K251"/>
    <mergeCell ref="A252:A258"/>
    <mergeCell ref="B252:B258"/>
    <mergeCell ref="C252:C258"/>
    <mergeCell ref="D252:D258"/>
    <mergeCell ref="K252:K258"/>
    <mergeCell ref="A279:D279"/>
    <mergeCell ref="A280:K280"/>
    <mergeCell ref="A281:K281"/>
    <mergeCell ref="D274:D278"/>
    <mergeCell ref="K274:K278"/>
    <mergeCell ref="B282:B288"/>
    <mergeCell ref="C282:C288"/>
    <mergeCell ref="D282:D288"/>
    <mergeCell ref="A269:A273"/>
    <mergeCell ref="B269:B273"/>
    <mergeCell ref="C269:C273"/>
    <mergeCell ref="D269:D273"/>
    <mergeCell ref="K269:K273"/>
    <mergeCell ref="A274:A278"/>
    <mergeCell ref="B274:B278"/>
    <mergeCell ref="K282:K288"/>
    <mergeCell ref="B245:B250"/>
    <mergeCell ref="A294:K294"/>
    <mergeCell ref="A295:A301"/>
    <mergeCell ref="B295:B301"/>
    <mergeCell ref="C295:C301"/>
    <mergeCell ref="A238:A244"/>
    <mergeCell ref="B238:B244"/>
    <mergeCell ref="C238:C244"/>
    <mergeCell ref="D238:D244"/>
    <mergeCell ref="K238:K244"/>
    <mergeCell ref="A259:A263"/>
    <mergeCell ref="B259:B263"/>
    <mergeCell ref="C259:C263"/>
    <mergeCell ref="D259:D263"/>
    <mergeCell ref="K259:K263"/>
    <mergeCell ref="A264:A268"/>
    <mergeCell ref="B264:B268"/>
    <mergeCell ref="C264:C268"/>
    <mergeCell ref="D264:D268"/>
    <mergeCell ref="K264:K268"/>
    <mergeCell ref="A289:A293"/>
    <mergeCell ref="K245:K250"/>
    <mergeCell ref="C274:C278"/>
    <mergeCell ref="A282:A288"/>
    <mergeCell ref="K211:K215"/>
    <mergeCell ref="B217:B223"/>
    <mergeCell ref="B211:B215"/>
    <mergeCell ref="C211:C215"/>
    <mergeCell ref="D211:D215"/>
    <mergeCell ref="A237:K237"/>
    <mergeCell ref="A217:A223"/>
    <mergeCell ref="A211:A215"/>
    <mergeCell ref="C217:C223"/>
    <mergeCell ref="D217:D223"/>
    <mergeCell ref="K217:K223"/>
    <mergeCell ref="A224:A227"/>
    <mergeCell ref="B224:B227"/>
    <mergeCell ref="C224:C227"/>
    <mergeCell ref="D224:D227"/>
    <mergeCell ref="K224:K227"/>
    <mergeCell ref="A228:A229"/>
    <mergeCell ref="B228:B229"/>
    <mergeCell ref="C228:C229"/>
    <mergeCell ref="A230:A232"/>
    <mergeCell ref="B230:B232"/>
    <mergeCell ref="C230:C232"/>
    <mergeCell ref="D230:D232"/>
    <mergeCell ref="K230:K232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16:A22"/>
    <mergeCell ref="B16:B22"/>
    <mergeCell ref="W30:Z30"/>
    <mergeCell ref="A31:K31"/>
    <mergeCell ref="A32:A38"/>
    <mergeCell ref="B32:B38"/>
    <mergeCell ref="C32:C38"/>
    <mergeCell ref="L30:N30"/>
    <mergeCell ref="O30:R30"/>
    <mergeCell ref="S30:V30"/>
    <mergeCell ref="A30:D30"/>
    <mergeCell ref="D32:D38"/>
    <mergeCell ref="A23:A29"/>
    <mergeCell ref="B23:B29"/>
    <mergeCell ref="C23:C29"/>
    <mergeCell ref="D23:D29"/>
    <mergeCell ref="K23:K29"/>
    <mergeCell ref="C16:C22"/>
    <mergeCell ref="D16:D22"/>
    <mergeCell ref="K16:K22"/>
    <mergeCell ref="K32:K54"/>
    <mergeCell ref="D39:D45"/>
    <mergeCell ref="A39:A45"/>
    <mergeCell ref="B39:B45"/>
    <mergeCell ref="A83:D83"/>
    <mergeCell ref="A84:K84"/>
    <mergeCell ref="A85:A91"/>
    <mergeCell ref="B85:B91"/>
    <mergeCell ref="C85:C91"/>
    <mergeCell ref="D85:D91"/>
    <mergeCell ref="K85:K91"/>
    <mergeCell ref="A78:A82"/>
    <mergeCell ref="B78:B82"/>
    <mergeCell ref="C78:C82"/>
    <mergeCell ref="D78:D82"/>
    <mergeCell ref="K78:K82"/>
    <mergeCell ref="A99:D99"/>
    <mergeCell ref="A100:K100"/>
    <mergeCell ref="C92:C98"/>
    <mergeCell ref="D92:D98"/>
    <mergeCell ref="A92:A98"/>
    <mergeCell ref="B92:B98"/>
    <mergeCell ref="K92:K98"/>
    <mergeCell ref="A116:D116"/>
    <mergeCell ref="A117:K117"/>
    <mergeCell ref="A118:K118"/>
    <mergeCell ref="A119:A125"/>
    <mergeCell ref="B119:B125"/>
    <mergeCell ref="C119:C125"/>
    <mergeCell ref="D119:D125"/>
    <mergeCell ref="K119:K125"/>
    <mergeCell ref="A101:A107"/>
    <mergeCell ref="B101:B107"/>
    <mergeCell ref="C101:C107"/>
    <mergeCell ref="D101:D107"/>
    <mergeCell ref="K101:K107"/>
    <mergeCell ref="A108:K108"/>
    <mergeCell ref="A109:A115"/>
    <mergeCell ref="B109:B115"/>
    <mergeCell ref="C109:C115"/>
    <mergeCell ref="D109:D115"/>
    <mergeCell ref="K109:K115"/>
    <mergeCell ref="A126:E126"/>
    <mergeCell ref="F126:J126"/>
    <mergeCell ref="A127:K127"/>
    <mergeCell ref="A128:K128"/>
    <mergeCell ref="K129:K135"/>
    <mergeCell ref="A136:A142"/>
    <mergeCell ref="B136:B142"/>
    <mergeCell ref="C136:C142"/>
    <mergeCell ref="D136:D142"/>
    <mergeCell ref="K136:K142"/>
    <mergeCell ref="D180:D186"/>
    <mergeCell ref="A180:A186"/>
    <mergeCell ref="K145:K158"/>
    <mergeCell ref="A152:A158"/>
    <mergeCell ref="B152:B158"/>
    <mergeCell ref="C152:C158"/>
    <mergeCell ref="D152:D158"/>
    <mergeCell ref="A129:A135"/>
    <mergeCell ref="B129:B135"/>
    <mergeCell ref="C129:C135"/>
    <mergeCell ref="D129:D135"/>
    <mergeCell ref="A143:K143"/>
    <mergeCell ref="A144:K144"/>
    <mergeCell ref="K187:K192"/>
    <mergeCell ref="A193:D193"/>
    <mergeCell ref="D173:D179"/>
    <mergeCell ref="F173:J179"/>
    <mergeCell ref="A145:A151"/>
    <mergeCell ref="B145:B151"/>
    <mergeCell ref="C145:C151"/>
    <mergeCell ref="D145:D151"/>
    <mergeCell ref="K159:K165"/>
    <mergeCell ref="A166:A172"/>
    <mergeCell ref="B166:B172"/>
    <mergeCell ref="C166:C172"/>
    <mergeCell ref="D166:D172"/>
    <mergeCell ref="K166:K172"/>
    <mergeCell ref="A159:A165"/>
    <mergeCell ref="B159:B165"/>
    <mergeCell ref="C159:C165"/>
    <mergeCell ref="D159:D165"/>
    <mergeCell ref="K173:K186"/>
    <mergeCell ref="A173:A179"/>
    <mergeCell ref="B173:B179"/>
    <mergeCell ref="C173:C179"/>
    <mergeCell ref="B180:B186"/>
    <mergeCell ref="C180:C186"/>
    <mergeCell ref="C197:C203"/>
    <mergeCell ref="D197:D203"/>
    <mergeCell ref="A204:A210"/>
    <mergeCell ref="B204:B210"/>
    <mergeCell ref="C204:C210"/>
    <mergeCell ref="D204:D210"/>
    <mergeCell ref="B187:B192"/>
    <mergeCell ref="A187:A192"/>
    <mergeCell ref="C187:C192"/>
    <mergeCell ref="D187:D192"/>
    <mergeCell ref="A197:A203"/>
    <mergeCell ref="B197:B203"/>
    <mergeCell ref="D436:D442"/>
    <mergeCell ref="K443:K448"/>
    <mergeCell ref="K436:K442"/>
    <mergeCell ref="A449:A450"/>
    <mergeCell ref="B449:B450"/>
    <mergeCell ref="C449:C450"/>
    <mergeCell ref="D449:D450"/>
    <mergeCell ref="K449:K450"/>
    <mergeCell ref="A476:D476"/>
    <mergeCell ref="B436:B442"/>
    <mergeCell ref="C436:C442"/>
    <mergeCell ref="A477:K477"/>
    <mergeCell ref="K469:K475"/>
    <mergeCell ref="C461:C467"/>
    <mergeCell ref="A469:A475"/>
    <mergeCell ref="B469:B475"/>
    <mergeCell ref="C469:C475"/>
    <mergeCell ref="D469:D475"/>
    <mergeCell ref="A468:K468"/>
    <mergeCell ref="K454:K467"/>
    <mergeCell ref="D461:D467"/>
    <mergeCell ref="B454:B460"/>
    <mergeCell ref="A454:A460"/>
    <mergeCell ref="A461:A467"/>
    <mergeCell ref="B461:B467"/>
    <mergeCell ref="A518:K518"/>
    <mergeCell ref="A519:A523"/>
    <mergeCell ref="B519:B523"/>
    <mergeCell ref="C519:C523"/>
    <mergeCell ref="A517:D517"/>
    <mergeCell ref="A527:K527"/>
    <mergeCell ref="A478:K478"/>
    <mergeCell ref="A479:A485"/>
    <mergeCell ref="B479:B485"/>
    <mergeCell ref="C479:C485"/>
    <mergeCell ref="D479:D485"/>
    <mergeCell ref="K479:K499"/>
    <mergeCell ref="A493:A499"/>
    <mergeCell ref="B493:B499"/>
    <mergeCell ref="C493:C499"/>
    <mergeCell ref="D493:D499"/>
    <mergeCell ref="A486:A492"/>
    <mergeCell ref="B486:B492"/>
    <mergeCell ref="C486:C492"/>
    <mergeCell ref="D486:D492"/>
    <mergeCell ref="D519:D523"/>
    <mergeCell ref="K519:K523"/>
    <mergeCell ref="A524:D524"/>
    <mergeCell ref="K753:K759"/>
    <mergeCell ref="A725:D725"/>
    <mergeCell ref="A726:D726"/>
    <mergeCell ref="A727:D727"/>
    <mergeCell ref="A752:D759"/>
    <mergeCell ref="D718:D724"/>
    <mergeCell ref="A716:D716"/>
    <mergeCell ref="A717:K717"/>
    <mergeCell ref="A718:A724"/>
    <mergeCell ref="B718:B724"/>
    <mergeCell ref="C718:C724"/>
    <mergeCell ref="K718:K724"/>
    <mergeCell ref="A736:K736"/>
    <mergeCell ref="A737:A741"/>
    <mergeCell ref="B737:B741"/>
    <mergeCell ref="C737:C741"/>
    <mergeCell ref="D737:D741"/>
    <mergeCell ref="K737:K741"/>
    <mergeCell ref="D744:D748"/>
    <mergeCell ref="K744:K748"/>
    <mergeCell ref="A749:D749"/>
    <mergeCell ref="A750:D750"/>
    <mergeCell ref="A751:D751"/>
    <mergeCell ref="A728:K728"/>
    <mergeCell ref="A735:D735"/>
    <mergeCell ref="A742:D742"/>
    <mergeCell ref="A743:K743"/>
    <mergeCell ref="A744:A748"/>
    <mergeCell ref="B744:B748"/>
    <mergeCell ref="C744:C748"/>
    <mergeCell ref="B667:B673"/>
    <mergeCell ref="C667:C673"/>
    <mergeCell ref="A709:A715"/>
    <mergeCell ref="B709:B715"/>
    <mergeCell ref="C709:C715"/>
    <mergeCell ref="A702:A708"/>
    <mergeCell ref="A686:K686"/>
    <mergeCell ref="A687:K687"/>
    <mergeCell ref="A695:A701"/>
    <mergeCell ref="B695:B701"/>
    <mergeCell ref="C695:C701"/>
    <mergeCell ref="A688:A694"/>
    <mergeCell ref="B688:B694"/>
    <mergeCell ref="C688:C694"/>
    <mergeCell ref="D667:D673"/>
    <mergeCell ref="A674:D674"/>
    <mergeCell ref="D688:D694"/>
    <mergeCell ref="A683:D683"/>
    <mergeCell ref="C660:C666"/>
    <mergeCell ref="D660:D666"/>
    <mergeCell ref="A653:A659"/>
    <mergeCell ref="A588:D588"/>
    <mergeCell ref="A622:D622"/>
    <mergeCell ref="A608:A614"/>
    <mergeCell ref="B608:B614"/>
    <mergeCell ref="C608:C614"/>
    <mergeCell ref="A615:A621"/>
    <mergeCell ref="B615:B621"/>
    <mergeCell ref="C615:C621"/>
    <mergeCell ref="D615:D621"/>
    <mergeCell ref="D608:D614"/>
    <mergeCell ref="A589:K589"/>
    <mergeCell ref="A590:K590"/>
    <mergeCell ref="D591:D597"/>
    <mergeCell ref="K591:K597"/>
    <mergeCell ref="A625:A631"/>
    <mergeCell ref="B625:B631"/>
    <mergeCell ref="A606:K606"/>
    <mergeCell ref="K598:K604"/>
    <mergeCell ref="A591:A597"/>
    <mergeCell ref="B591:B597"/>
    <mergeCell ref="C591:C597"/>
    <mergeCell ref="A607:K607"/>
    <mergeCell ref="K667:K673"/>
    <mergeCell ref="A667:A673"/>
    <mergeCell ref="C625:C631"/>
    <mergeCell ref="D625:D631"/>
    <mergeCell ref="K625:K638"/>
    <mergeCell ref="A623:K623"/>
    <mergeCell ref="A624:K624"/>
    <mergeCell ref="B653:B659"/>
    <mergeCell ref="C653:C659"/>
    <mergeCell ref="D653:D659"/>
    <mergeCell ref="C646:C652"/>
    <mergeCell ref="D646:D652"/>
    <mergeCell ref="B632:B638"/>
    <mergeCell ref="D639:D645"/>
    <mergeCell ref="A646:A652"/>
    <mergeCell ref="B646:B652"/>
    <mergeCell ref="A660:A666"/>
    <mergeCell ref="B660:B666"/>
    <mergeCell ref="K574:K580"/>
    <mergeCell ref="K581:K587"/>
    <mergeCell ref="K560:K566"/>
    <mergeCell ref="C529:C535"/>
    <mergeCell ref="D529:D535"/>
    <mergeCell ref="K529:K556"/>
    <mergeCell ref="A543:A549"/>
    <mergeCell ref="B543:B549"/>
    <mergeCell ref="D550:D556"/>
    <mergeCell ref="A567:A573"/>
    <mergeCell ref="A574:A580"/>
    <mergeCell ref="B574:B580"/>
    <mergeCell ref="C574:C580"/>
    <mergeCell ref="D560:D566"/>
    <mergeCell ref="A581:A587"/>
    <mergeCell ref="B581:B587"/>
    <mergeCell ref="C581:C587"/>
    <mergeCell ref="D581:D587"/>
    <mergeCell ref="B550:B556"/>
    <mergeCell ref="C550:C556"/>
    <mergeCell ref="B560:B566"/>
    <mergeCell ref="C560:C566"/>
    <mergeCell ref="A550:A556"/>
    <mergeCell ref="A557:D557"/>
    <mergeCell ref="A558:K558"/>
    <mergeCell ref="A559:K559"/>
    <mergeCell ref="K500:K506"/>
    <mergeCell ref="A507:D507"/>
    <mergeCell ref="A508:K508"/>
    <mergeCell ref="A509:K509"/>
    <mergeCell ref="A500:A506"/>
    <mergeCell ref="B500:B506"/>
    <mergeCell ref="C500:C506"/>
    <mergeCell ref="D500:D506"/>
    <mergeCell ref="C543:C549"/>
    <mergeCell ref="D543:D549"/>
    <mergeCell ref="K510:K516"/>
    <mergeCell ref="A510:A516"/>
    <mergeCell ref="B510:B516"/>
    <mergeCell ref="C510:C516"/>
    <mergeCell ref="D510:D516"/>
    <mergeCell ref="A536:A542"/>
    <mergeCell ref="B536:B542"/>
    <mergeCell ref="C536:C542"/>
    <mergeCell ref="D536:D542"/>
    <mergeCell ref="A528:K528"/>
    <mergeCell ref="A529:A535"/>
    <mergeCell ref="B529:B535"/>
    <mergeCell ref="M94:O94"/>
    <mergeCell ref="M246:O246"/>
    <mergeCell ref="D46:D49"/>
    <mergeCell ref="A396:K396"/>
    <mergeCell ref="A397:K397"/>
    <mergeCell ref="A386:A392"/>
    <mergeCell ref="K317:K323"/>
    <mergeCell ref="K324:K330"/>
    <mergeCell ref="A331:A337"/>
    <mergeCell ref="B331:B337"/>
    <mergeCell ref="C331:C337"/>
    <mergeCell ref="D324:D330"/>
    <mergeCell ref="A361:D361"/>
    <mergeCell ref="K338:K344"/>
    <mergeCell ref="D331:D337"/>
    <mergeCell ref="K331:K337"/>
    <mergeCell ref="C245:C250"/>
    <mergeCell ref="D245:D250"/>
    <mergeCell ref="A245:A250"/>
    <mergeCell ref="K307:K313"/>
    <mergeCell ref="C307:C313"/>
    <mergeCell ref="D307:D313"/>
    <mergeCell ref="A315:K315"/>
    <mergeCell ref="A56:K56"/>
    <mergeCell ref="K57:K70"/>
    <mergeCell ref="A64:A70"/>
    <mergeCell ref="A55:D55"/>
    <mergeCell ref="C39:C45"/>
    <mergeCell ref="A46:A49"/>
    <mergeCell ref="B46:B49"/>
    <mergeCell ref="A53:A54"/>
    <mergeCell ref="B53:B54"/>
    <mergeCell ref="C53:C54"/>
    <mergeCell ref="D53:D54"/>
    <mergeCell ref="A57:A63"/>
    <mergeCell ref="C46:C49"/>
    <mergeCell ref="A50:A52"/>
    <mergeCell ref="B50:B52"/>
    <mergeCell ref="C50:C52"/>
    <mergeCell ref="D50:D52"/>
    <mergeCell ref="B57:B63"/>
    <mergeCell ref="C57:C63"/>
    <mergeCell ref="D57:D63"/>
    <mergeCell ref="C338:C344"/>
    <mergeCell ref="D338:D344"/>
    <mergeCell ref="D295:D301"/>
    <mergeCell ref="K295:K301"/>
    <mergeCell ref="A314:D314"/>
    <mergeCell ref="A316:K316"/>
    <mergeCell ref="A307:A313"/>
    <mergeCell ref="B307:B313"/>
    <mergeCell ref="B64:B70"/>
    <mergeCell ref="C64:C70"/>
    <mergeCell ref="D64:D70"/>
    <mergeCell ref="A71:A77"/>
    <mergeCell ref="B71:B77"/>
    <mergeCell ref="C71:C77"/>
    <mergeCell ref="D71:D77"/>
    <mergeCell ref="K71:K77"/>
    <mergeCell ref="D228:D229"/>
    <mergeCell ref="K228:K229"/>
    <mergeCell ref="F180:J185"/>
    <mergeCell ref="K204:K210"/>
    <mergeCell ref="A194:D194"/>
    <mergeCell ref="A195:K195"/>
    <mergeCell ref="A196:K196"/>
    <mergeCell ref="K197:K203"/>
    <mergeCell ref="K356:K360"/>
    <mergeCell ref="B289:B293"/>
    <mergeCell ref="C289:C293"/>
    <mergeCell ref="D289:D293"/>
    <mergeCell ref="K289:K293"/>
    <mergeCell ref="A302:A306"/>
    <mergeCell ref="B302:B306"/>
    <mergeCell ref="C302:C306"/>
    <mergeCell ref="D302:D306"/>
    <mergeCell ref="K302:K306"/>
    <mergeCell ref="B317:B323"/>
    <mergeCell ref="C317:C323"/>
    <mergeCell ref="D317:D323"/>
    <mergeCell ref="A345:A350"/>
    <mergeCell ref="B345:B350"/>
    <mergeCell ref="C345:C350"/>
    <mergeCell ref="D345:D350"/>
    <mergeCell ref="K345:K350"/>
    <mergeCell ref="A324:A330"/>
    <mergeCell ref="B324:B330"/>
    <mergeCell ref="C324:C330"/>
    <mergeCell ref="A317:A323"/>
    <mergeCell ref="A338:A344"/>
    <mergeCell ref="B338:B344"/>
    <mergeCell ref="K233:K234"/>
    <mergeCell ref="A675:K675"/>
    <mergeCell ref="B676:B682"/>
    <mergeCell ref="A676:A682"/>
    <mergeCell ref="E680:E682"/>
    <mergeCell ref="F680:F682"/>
    <mergeCell ref="G680:G682"/>
    <mergeCell ref="H680:H682"/>
    <mergeCell ref="I680:I682"/>
    <mergeCell ref="J680:J682"/>
    <mergeCell ref="A351:A355"/>
    <mergeCell ref="B351:B355"/>
    <mergeCell ref="C351:C355"/>
    <mergeCell ref="D351:D355"/>
    <mergeCell ref="K351:K355"/>
    <mergeCell ref="A370:A374"/>
    <mergeCell ref="A233:A234"/>
    <mergeCell ref="B233:B234"/>
    <mergeCell ref="C233:C234"/>
    <mergeCell ref="D233:D234"/>
    <mergeCell ref="A356:A360"/>
    <mergeCell ref="B356:B360"/>
    <mergeCell ref="C356:C360"/>
    <mergeCell ref="D356:D360"/>
    <mergeCell ref="A235:A236"/>
    <mergeCell ref="B235:B236"/>
    <mergeCell ref="C235:C236"/>
    <mergeCell ref="D235:D236"/>
    <mergeCell ref="K235:K236"/>
    <mergeCell ref="D574:D580"/>
    <mergeCell ref="B567:B573"/>
    <mergeCell ref="C567:C573"/>
    <mergeCell ref="D567:D573"/>
    <mergeCell ref="K567:K573"/>
    <mergeCell ref="A560:A566"/>
    <mergeCell ref="C454:C460"/>
    <mergeCell ref="D454:D460"/>
    <mergeCell ref="A452:K452"/>
    <mergeCell ref="A453:K453"/>
    <mergeCell ref="C443:C448"/>
    <mergeCell ref="D443:D448"/>
    <mergeCell ref="B443:B448"/>
    <mergeCell ref="A362:E362"/>
    <mergeCell ref="A363:A369"/>
    <mergeCell ref="B363:B369"/>
    <mergeCell ref="C363:C369"/>
    <mergeCell ref="D363:D369"/>
    <mergeCell ref="A393:D393"/>
  </mergeCells>
  <phoneticPr fontId="0" type="noConversion"/>
  <pageMargins left="0.74803149606299213" right="0.55118110236220474" top="0.78740157480314965" bottom="0.78740157480314965" header="0.51181102362204722" footer="0.51181102362204722"/>
  <pageSetup paperSize="9" scale="69" orientation="landscape" r:id="rId1"/>
  <headerFooter alignWithMargins="0"/>
  <rowBreaks count="24" manualBreakCount="24">
    <brk id="30" max="10" man="1"/>
    <brk id="52" max="10" man="1"/>
    <brk id="55" max="10" man="1"/>
    <brk id="83" max="10" man="1"/>
    <brk id="126" max="10" man="1"/>
    <brk id="158" max="10" man="1"/>
    <brk id="194" max="10" man="1"/>
    <brk id="227" max="10" man="1"/>
    <brk id="244" max="10" man="1"/>
    <brk id="268" max="10" man="1"/>
    <brk id="279" max="10" man="1"/>
    <brk id="314" max="10" man="1"/>
    <brk id="350" max="10" man="1"/>
    <brk id="384" max="10" man="1"/>
    <brk id="395" max="10" man="1"/>
    <brk id="435" max="10" man="1"/>
    <brk id="476" max="10" man="1"/>
    <brk id="523" max="10" man="1"/>
    <brk id="526" max="10" man="1"/>
    <brk id="557" max="10" man="1"/>
    <brk id="597" max="10" man="1"/>
    <brk id="638" max="10" man="1"/>
    <brk id="683" max="10" man="1"/>
    <brk id="75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2018г</vt:lpstr>
      <vt:lpstr>'август 2018г'!Область_печати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Microsoft Office</cp:lastModifiedBy>
  <cp:lastPrinted>2018-07-20T01:19:52Z</cp:lastPrinted>
  <dcterms:created xsi:type="dcterms:W3CDTF">1996-10-08T23:32:33Z</dcterms:created>
  <dcterms:modified xsi:type="dcterms:W3CDTF">2018-08-17T02:28:58Z</dcterms:modified>
</cp:coreProperties>
</file>