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buhruk\Desktop\программа 2016\программа декабрь 2017\"/>
    </mc:Choice>
  </mc:AlternateContent>
  <bookViews>
    <workbookView xWindow="0" yWindow="0" windowWidth="20490" windowHeight="7155"/>
  </bookViews>
  <sheets>
    <sheet name="декабрь" sheetId="1" r:id="rId1"/>
    <sheet name="Лист2" sheetId="2" r:id="rId2"/>
  </sheets>
  <definedNames>
    <definedName name="_xlnm.Print_Area" localSheetId="0">декабрь!$A$1:$K$753</definedName>
  </definedNames>
  <calcPr calcId="152511"/>
</workbook>
</file>

<file path=xl/calcChain.xml><?xml version="1.0" encoding="utf-8"?>
<calcChain xmlns="http://schemas.openxmlformats.org/spreadsheetml/2006/main">
  <c r="I263" i="1" l="1"/>
  <c r="H387" i="1" l="1"/>
  <c r="F387" i="1"/>
  <c r="I749" i="1"/>
  <c r="I738" i="1"/>
  <c r="I731" i="1"/>
  <c r="I724" i="1"/>
  <c r="I621" i="1" l="1"/>
  <c r="I563" i="1"/>
  <c r="I556" i="1"/>
  <c r="I546" i="1"/>
  <c r="H546" i="1"/>
  <c r="H532" i="1"/>
  <c r="H525" i="1"/>
  <c r="H513" i="1"/>
  <c r="I425" i="1"/>
  <c r="I403" i="1"/>
  <c r="H345" i="1"/>
  <c r="I334" i="1"/>
  <c r="H313" i="1"/>
  <c r="H291" i="1"/>
  <c r="H283" i="1"/>
  <c r="H278" i="1"/>
  <c r="I258" i="1"/>
  <c r="H258" i="1"/>
  <c r="I253" i="1"/>
  <c r="I248" i="1"/>
  <c r="I240" i="1"/>
  <c r="I217" i="1"/>
  <c r="I211" i="1"/>
  <c r="H186" i="1"/>
  <c r="I152" i="1"/>
  <c r="H145" i="1"/>
  <c r="H76" i="1"/>
  <c r="I71" i="1"/>
  <c r="H49" i="1"/>
  <c r="I53" i="1"/>
  <c r="H51" i="1"/>
  <c r="H52" i="1" s="1"/>
  <c r="I52" i="1"/>
  <c r="G52" i="1"/>
  <c r="F51" i="1" l="1"/>
  <c r="F52" i="1" s="1"/>
  <c r="H677" i="1"/>
  <c r="J698" i="1" l="1"/>
  <c r="J691" i="1"/>
  <c r="J684" i="1"/>
  <c r="J745" i="1" l="1"/>
  <c r="H668" i="1"/>
  <c r="H616" i="1"/>
  <c r="H599" i="1"/>
  <c r="H582" i="1"/>
  <c r="H470" i="1"/>
  <c r="H369" i="1"/>
  <c r="I308" i="1"/>
  <c r="H314" i="1"/>
  <c r="I225" i="1" l="1"/>
  <c r="H225" i="1"/>
  <c r="I223" i="1"/>
  <c r="H223" i="1"/>
  <c r="F234" i="1"/>
  <c r="F403" i="1" l="1"/>
  <c r="I230" i="1"/>
  <c r="H230" i="1"/>
  <c r="G230" i="1"/>
  <c r="F229" i="1"/>
  <c r="F230" i="1" s="1"/>
  <c r="P546" i="1"/>
  <c r="S546" i="1" s="1"/>
  <c r="I674" i="1"/>
  <c r="I677" i="1" s="1"/>
  <c r="F670" i="1"/>
  <c r="F674" i="1" s="1"/>
  <c r="F677" i="1" s="1"/>
  <c r="I373" i="1"/>
  <c r="O546" i="1" l="1"/>
  <c r="I228" i="1" l="1"/>
  <c r="H228" i="1"/>
  <c r="G228" i="1"/>
  <c r="F227" i="1"/>
  <c r="F228" i="1" s="1"/>
  <c r="G745" i="1" l="1"/>
  <c r="I743" i="1"/>
  <c r="H743" i="1"/>
  <c r="J742" i="1"/>
  <c r="I742" i="1"/>
  <c r="H742" i="1"/>
  <c r="G742" i="1"/>
  <c r="F741" i="1"/>
  <c r="F740" i="1"/>
  <c r="F739" i="1"/>
  <c r="F738" i="1"/>
  <c r="I736" i="1"/>
  <c r="H736" i="1"/>
  <c r="I729" i="1"/>
  <c r="H729" i="1"/>
  <c r="J735" i="1"/>
  <c r="I735" i="1"/>
  <c r="H735" i="1"/>
  <c r="G735" i="1"/>
  <c r="F734" i="1"/>
  <c r="F733" i="1"/>
  <c r="F732" i="1"/>
  <c r="F731" i="1"/>
  <c r="H728" i="1"/>
  <c r="G728" i="1"/>
  <c r="F727" i="1"/>
  <c r="F726" i="1"/>
  <c r="J728" i="1"/>
  <c r="F724" i="1"/>
  <c r="F514" i="1"/>
  <c r="F516" i="1"/>
  <c r="I515" i="1"/>
  <c r="I517" i="1" s="1"/>
  <c r="H515" i="1"/>
  <c r="I354" i="1"/>
  <c r="H354" i="1"/>
  <c r="F353" i="1"/>
  <c r="F352" i="1"/>
  <c r="F351" i="1"/>
  <c r="F350" i="1"/>
  <c r="I272" i="1"/>
  <c r="H272" i="1"/>
  <c r="F271" i="1"/>
  <c r="F270" i="1"/>
  <c r="F269" i="1"/>
  <c r="F268" i="1"/>
  <c r="I267" i="1"/>
  <c r="H267" i="1"/>
  <c r="F266" i="1"/>
  <c r="F265" i="1"/>
  <c r="F264" i="1"/>
  <c r="F263" i="1"/>
  <c r="H745" i="1" l="1"/>
  <c r="F736" i="1"/>
  <c r="I745" i="1"/>
  <c r="F742" i="1"/>
  <c r="F735" i="1"/>
  <c r="F743" i="1"/>
  <c r="F725" i="1"/>
  <c r="I728" i="1"/>
  <c r="F513" i="1"/>
  <c r="H517" i="1"/>
  <c r="I518" i="1"/>
  <c r="H518" i="1"/>
  <c r="F515" i="1"/>
  <c r="F354" i="1"/>
  <c r="F267" i="1"/>
  <c r="F272" i="1"/>
  <c r="F728" i="1" l="1"/>
  <c r="F729" i="1"/>
  <c r="F745" i="1" s="1"/>
  <c r="F518" i="1"/>
  <c r="F517" i="1"/>
  <c r="I444" i="1"/>
  <c r="F444" i="1" s="1"/>
  <c r="F443" i="1"/>
  <c r="F367" i="1"/>
  <c r="I368" i="1"/>
  <c r="F366" i="1"/>
  <c r="F365" i="1"/>
  <c r="F364" i="1"/>
  <c r="H349" i="1"/>
  <c r="I349" i="1"/>
  <c r="F348" i="1"/>
  <c r="F347" i="1"/>
  <c r="F346" i="1"/>
  <c r="F345" i="1"/>
  <c r="F299" i="1"/>
  <c r="F298" i="1"/>
  <c r="H300" i="1"/>
  <c r="F296" i="1"/>
  <c r="F286" i="1"/>
  <c r="F285" i="1"/>
  <c r="H287" i="1"/>
  <c r="F283" i="1"/>
  <c r="H262" i="1"/>
  <c r="I262" i="1"/>
  <c r="F261" i="1"/>
  <c r="F260" i="1"/>
  <c r="F259" i="1"/>
  <c r="F258" i="1"/>
  <c r="F256" i="1"/>
  <c r="F255" i="1"/>
  <c r="F254" i="1"/>
  <c r="I257" i="1"/>
  <c r="H80" i="1"/>
  <c r="F79" i="1"/>
  <c r="F78" i="1"/>
  <c r="F77" i="1"/>
  <c r="F76" i="1"/>
  <c r="H50" i="1"/>
  <c r="G50" i="1"/>
  <c r="I50" i="1"/>
  <c r="F368" i="1" l="1"/>
  <c r="F349" i="1"/>
  <c r="F297" i="1"/>
  <c r="F300" i="1" s="1"/>
  <c r="F284" i="1"/>
  <c r="F287" i="1" s="1"/>
  <c r="F262" i="1"/>
  <c r="F253" i="1"/>
  <c r="F257" i="1" s="1"/>
  <c r="F80" i="1"/>
  <c r="I80" i="1"/>
  <c r="F49" i="1"/>
  <c r="F50" i="1" s="1"/>
  <c r="F53" i="1" s="1"/>
  <c r="I226" i="1"/>
  <c r="H226" i="1"/>
  <c r="G226" i="1"/>
  <c r="F225" i="1"/>
  <c r="F226" i="1" s="1"/>
  <c r="J683" i="1" l="1"/>
  <c r="I683" i="1"/>
  <c r="I586" i="1" l="1"/>
  <c r="H545" i="1"/>
  <c r="I456" i="1"/>
  <c r="I488" i="1"/>
  <c r="I464" i="1"/>
  <c r="I449" i="1"/>
  <c r="I402" i="1"/>
  <c r="I372" i="1"/>
  <c r="I358" i="1"/>
  <c r="I216" i="1"/>
  <c r="I151" i="1"/>
  <c r="I70" i="1"/>
  <c r="I247" i="1" l="1"/>
  <c r="J420" i="1" l="1"/>
  <c r="J419" i="1"/>
  <c r="J413" i="1"/>
  <c r="J412" i="1"/>
  <c r="F340" i="1"/>
  <c r="F341" i="1"/>
  <c r="F342" i="1"/>
  <c r="F343" i="1"/>
  <c r="I344" i="1"/>
  <c r="I548" i="1" l="1"/>
  <c r="H548" i="1"/>
  <c r="I547" i="1"/>
  <c r="H547" i="1"/>
  <c r="I541" i="1"/>
  <c r="I540" i="1"/>
  <c r="H534" i="1"/>
  <c r="H533" i="1"/>
  <c r="H527" i="1"/>
  <c r="H526" i="1"/>
  <c r="H508" i="1"/>
  <c r="H507" i="1"/>
  <c r="I427" i="1"/>
  <c r="F427" i="1" s="1"/>
  <c r="I426" i="1"/>
  <c r="I405" i="1"/>
  <c r="F405" i="1" s="1"/>
  <c r="I404" i="1"/>
  <c r="H384" i="1"/>
  <c r="H383" i="1"/>
  <c r="I327" i="1"/>
  <c r="H327" i="1"/>
  <c r="H322" i="1"/>
  <c r="F322" i="1" s="1"/>
  <c r="H321" i="1"/>
  <c r="H315" i="1"/>
  <c r="H280" i="1"/>
  <c r="H279" i="1"/>
  <c r="I250" i="1"/>
  <c r="H233" i="1"/>
  <c r="H218" i="1"/>
  <c r="H219" i="1"/>
  <c r="I219" i="1"/>
  <c r="I218" i="1"/>
  <c r="I199" i="1"/>
  <c r="H199" i="1"/>
  <c r="I154" i="1"/>
  <c r="I153" i="1"/>
  <c r="H147" i="1"/>
  <c r="H146" i="1"/>
  <c r="I111" i="1"/>
  <c r="I110" i="1"/>
  <c r="I103" i="1"/>
  <c r="I102" i="1"/>
  <c r="H85" i="1"/>
  <c r="I85" i="1"/>
  <c r="I73" i="1"/>
  <c r="I72" i="1"/>
  <c r="I42" i="1"/>
  <c r="H42" i="1"/>
  <c r="I46" i="1"/>
  <c r="H46" i="1"/>
  <c r="F440" i="1"/>
  <c r="H293" i="1"/>
  <c r="I242" i="1"/>
  <c r="F242" i="1" s="1"/>
  <c r="F188" i="1"/>
  <c r="F94" i="1"/>
  <c r="H381" i="1"/>
  <c r="F439" i="1"/>
  <c r="H292" i="1"/>
  <c r="I249" i="1"/>
  <c r="I241" i="1"/>
  <c r="F241" i="1" s="1"/>
  <c r="F187" i="1"/>
  <c r="F186" i="1"/>
  <c r="I545" i="1"/>
  <c r="F93" i="1"/>
  <c r="H524" i="1"/>
  <c r="H531" i="1"/>
  <c r="F438" i="1"/>
  <c r="H312" i="1"/>
  <c r="H277" i="1"/>
  <c r="F240" i="1"/>
  <c r="H144" i="1"/>
  <c r="F92" i="1"/>
  <c r="H749" i="1" l="1"/>
  <c r="H750" i="1"/>
  <c r="I750" i="1"/>
  <c r="I751" i="1"/>
  <c r="H751" i="1"/>
  <c r="I538" i="1"/>
  <c r="I233" i="1"/>
  <c r="I495" i="1"/>
  <c r="I474" i="1"/>
  <c r="I333" i="1" l="1"/>
  <c r="I338" i="1" s="1"/>
  <c r="F339" i="1"/>
  <c r="F344" i="1" s="1"/>
  <c r="I239" i="1" l="1"/>
  <c r="I203" i="1"/>
  <c r="I91" i="1" l="1"/>
  <c r="J697" i="1" l="1"/>
  <c r="J690" i="1"/>
  <c r="H290" i="1"/>
  <c r="H185" i="1"/>
  <c r="H143" i="1"/>
  <c r="I48" i="1"/>
  <c r="H48" i="1"/>
  <c r="G48" i="1"/>
  <c r="F47" i="1"/>
  <c r="F46" i="1"/>
  <c r="F48" i="1" l="1"/>
  <c r="F222" i="1"/>
  <c r="H224" i="1"/>
  <c r="G224" i="1"/>
  <c r="F223" i="1"/>
  <c r="F224" i="1" l="1"/>
  <c r="I224" i="1"/>
  <c r="I704" i="1"/>
  <c r="I697" i="1"/>
  <c r="I690" i="1"/>
  <c r="H319" i="1" l="1"/>
  <c r="H748" i="1" s="1"/>
  <c r="F217" i="1"/>
  <c r="I748" i="1" l="1"/>
  <c r="H752" i="1"/>
  <c r="J752" i="1"/>
  <c r="J751" i="1"/>
  <c r="J750" i="1"/>
  <c r="J749" i="1"/>
  <c r="J748" i="1"/>
  <c r="J747" i="1"/>
  <c r="F212" i="1" l="1"/>
  <c r="F371" i="1" l="1"/>
  <c r="F372" i="1"/>
  <c r="F373" i="1"/>
  <c r="F374" i="1"/>
  <c r="F375" i="1"/>
  <c r="F376" i="1"/>
  <c r="I377" i="1"/>
  <c r="I378" i="1" s="1"/>
  <c r="H377" i="1"/>
  <c r="H378" i="1" s="1"/>
  <c r="G378" i="1"/>
  <c r="I401" i="1"/>
  <c r="I407" i="1" s="1"/>
  <c r="I423" i="1"/>
  <c r="I429" i="1" s="1"/>
  <c r="I436" i="1"/>
  <c r="I442" i="1"/>
  <c r="F442" i="1" s="1"/>
  <c r="I331" i="1"/>
  <c r="I355" i="1" s="1"/>
  <c r="I220" i="1"/>
  <c r="I701" i="1"/>
  <c r="F701" i="1" s="1"/>
  <c r="I16" i="1"/>
  <c r="I69" i="1"/>
  <c r="F69" i="1" s="1"/>
  <c r="I150" i="1"/>
  <c r="F150" i="1" s="1"/>
  <c r="I202" i="1"/>
  <c r="I208" i="1" s="1"/>
  <c r="I215" i="1"/>
  <c r="I246" i="1"/>
  <c r="F246" i="1" s="1"/>
  <c r="I504" i="1"/>
  <c r="I511" i="1" s="1"/>
  <c r="I696" i="1"/>
  <c r="I702" i="1" s="1"/>
  <c r="I479" i="1"/>
  <c r="I486" i="1"/>
  <c r="I493" i="1"/>
  <c r="I500" i="1"/>
  <c r="I454" i="1"/>
  <c r="I469" i="1"/>
  <c r="I461" i="1"/>
  <c r="F751" i="1"/>
  <c r="F750" i="1"/>
  <c r="F749" i="1"/>
  <c r="H544" i="1"/>
  <c r="H550" i="1" s="1"/>
  <c r="H530" i="1"/>
  <c r="H536" i="1" s="1"/>
  <c r="H523" i="1"/>
  <c r="H529" i="1" s="1"/>
  <c r="H504" i="1"/>
  <c r="H511" i="1" s="1"/>
  <c r="H318" i="1"/>
  <c r="F318" i="1" s="1"/>
  <c r="H311" i="1"/>
  <c r="H317" i="1" s="1"/>
  <c r="H289" i="1"/>
  <c r="H295" i="1" s="1"/>
  <c r="H276" i="1"/>
  <c r="H282" i="1" s="1"/>
  <c r="H209" i="1"/>
  <c r="H213" i="1" s="1"/>
  <c r="H202" i="1"/>
  <c r="H208" i="1" s="1"/>
  <c r="H149" i="1"/>
  <c r="H23" i="1"/>
  <c r="H29" i="1" s="1"/>
  <c r="H16" i="1"/>
  <c r="H22" i="1" s="1"/>
  <c r="F210" i="1"/>
  <c r="F211" i="1"/>
  <c r="F325" i="1"/>
  <c r="F326" i="1"/>
  <c r="F327" i="1"/>
  <c r="F328" i="1"/>
  <c r="F329" i="1"/>
  <c r="F330" i="1"/>
  <c r="F319" i="1"/>
  <c r="F320" i="1"/>
  <c r="F321" i="1"/>
  <c r="F323" i="1"/>
  <c r="F312" i="1"/>
  <c r="F313" i="1"/>
  <c r="F314" i="1"/>
  <c r="F315" i="1"/>
  <c r="F316" i="1"/>
  <c r="F332" i="1"/>
  <c r="F333" i="1"/>
  <c r="F334" i="1"/>
  <c r="F335" i="1"/>
  <c r="F336" i="1"/>
  <c r="F337" i="1"/>
  <c r="H331" i="1"/>
  <c r="H338" i="1"/>
  <c r="G470" i="1"/>
  <c r="F460" i="1"/>
  <c r="F459" i="1"/>
  <c r="F458" i="1"/>
  <c r="F457" i="1"/>
  <c r="F456" i="1"/>
  <c r="F455" i="1"/>
  <c r="G445" i="1"/>
  <c r="H407" i="1"/>
  <c r="H436" i="1"/>
  <c r="J415" i="1"/>
  <c r="J422" i="1"/>
  <c r="F437" i="1"/>
  <c r="H238" i="1"/>
  <c r="H221" i="1"/>
  <c r="H201" i="1"/>
  <c r="F239" i="1"/>
  <c r="F244" i="1" s="1"/>
  <c r="I244" i="1"/>
  <c r="F144" i="1"/>
  <c r="F145" i="1"/>
  <c r="F146" i="1"/>
  <c r="F147" i="1"/>
  <c r="F148" i="1"/>
  <c r="F151" i="1"/>
  <c r="F152" i="1"/>
  <c r="F153" i="1"/>
  <c r="F154" i="1"/>
  <c r="F155" i="1"/>
  <c r="F185" i="1"/>
  <c r="F190" i="1" s="1"/>
  <c r="H190" i="1"/>
  <c r="H89" i="1"/>
  <c r="H97" i="1" s="1"/>
  <c r="H61" i="1"/>
  <c r="H81" i="1" s="1"/>
  <c r="G191" i="1"/>
  <c r="G192" i="1" s="1"/>
  <c r="F381" i="1"/>
  <c r="I89" i="1"/>
  <c r="I96" i="1"/>
  <c r="F91" i="1"/>
  <c r="H96" i="1"/>
  <c r="J753" i="1"/>
  <c r="J709" i="1"/>
  <c r="J702" i="1"/>
  <c r="J695" i="1"/>
  <c r="J688" i="1"/>
  <c r="I718" i="1"/>
  <c r="I719" i="1" s="1"/>
  <c r="I709" i="1"/>
  <c r="I695" i="1"/>
  <c r="I688" i="1"/>
  <c r="H719" i="1"/>
  <c r="H709" i="1"/>
  <c r="H702" i="1"/>
  <c r="H695" i="1"/>
  <c r="H688" i="1"/>
  <c r="G719" i="1"/>
  <c r="G709" i="1"/>
  <c r="G702" i="1"/>
  <c r="G695" i="1"/>
  <c r="G688" i="1"/>
  <c r="F712" i="1"/>
  <c r="F713" i="1"/>
  <c r="F714" i="1"/>
  <c r="F715" i="1"/>
  <c r="F716" i="1"/>
  <c r="F717" i="1"/>
  <c r="F703" i="1"/>
  <c r="F704" i="1"/>
  <c r="F705" i="1"/>
  <c r="F706" i="1"/>
  <c r="F707" i="1"/>
  <c r="F708" i="1"/>
  <c r="F697" i="1"/>
  <c r="F698" i="1"/>
  <c r="F699" i="1"/>
  <c r="F700" i="1"/>
  <c r="F689" i="1"/>
  <c r="F690" i="1"/>
  <c r="F691" i="1"/>
  <c r="F692" i="1"/>
  <c r="F693" i="1"/>
  <c r="F694" i="1"/>
  <c r="F682" i="1"/>
  <c r="F683" i="1"/>
  <c r="F684" i="1"/>
  <c r="F685" i="1"/>
  <c r="F686" i="1"/>
  <c r="F687" i="1"/>
  <c r="I660" i="1"/>
  <c r="I653" i="1"/>
  <c r="I646" i="1"/>
  <c r="I639" i="1"/>
  <c r="I632" i="1"/>
  <c r="I625" i="1"/>
  <c r="I615" i="1"/>
  <c r="I608" i="1"/>
  <c r="I591" i="1"/>
  <c r="I599" i="1" s="1"/>
  <c r="I560" i="1"/>
  <c r="I567" i="1"/>
  <c r="I543" i="1"/>
  <c r="I550" i="1"/>
  <c r="F654" i="1"/>
  <c r="F655" i="1"/>
  <c r="F656" i="1"/>
  <c r="F657" i="1"/>
  <c r="F658" i="1"/>
  <c r="F659" i="1"/>
  <c r="F647" i="1"/>
  <c r="F648" i="1"/>
  <c r="F649" i="1"/>
  <c r="F650" i="1"/>
  <c r="F651" i="1"/>
  <c r="F652" i="1"/>
  <c r="F640" i="1"/>
  <c r="F641" i="1"/>
  <c r="F642" i="1"/>
  <c r="F643" i="1"/>
  <c r="F644" i="1"/>
  <c r="F645" i="1"/>
  <c r="F633" i="1"/>
  <c r="F634" i="1"/>
  <c r="F635" i="1"/>
  <c r="F636" i="1"/>
  <c r="F637" i="1"/>
  <c r="F638" i="1"/>
  <c r="F626" i="1"/>
  <c r="F627" i="1"/>
  <c r="F628" i="1"/>
  <c r="F629" i="1"/>
  <c r="F630" i="1"/>
  <c r="F631" i="1"/>
  <c r="F619" i="1"/>
  <c r="F620" i="1"/>
  <c r="F621" i="1"/>
  <c r="F622" i="1"/>
  <c r="F623" i="1"/>
  <c r="F624" i="1"/>
  <c r="F609" i="1"/>
  <c r="F610" i="1"/>
  <c r="F611" i="1"/>
  <c r="F612" i="1"/>
  <c r="F613" i="1"/>
  <c r="F614" i="1"/>
  <c r="F602" i="1"/>
  <c r="F603" i="1"/>
  <c r="F604" i="1"/>
  <c r="F605" i="1"/>
  <c r="F606" i="1"/>
  <c r="F607" i="1"/>
  <c r="F585" i="1"/>
  <c r="F586" i="1"/>
  <c r="F587" i="1"/>
  <c r="F588" i="1"/>
  <c r="F589" i="1"/>
  <c r="F590" i="1"/>
  <c r="F554" i="1"/>
  <c r="F555" i="1"/>
  <c r="F556" i="1"/>
  <c r="F557" i="1"/>
  <c r="F558" i="1"/>
  <c r="F559" i="1"/>
  <c r="F561" i="1"/>
  <c r="F562" i="1"/>
  <c r="F563" i="1"/>
  <c r="F564" i="1"/>
  <c r="F565" i="1"/>
  <c r="F566" i="1"/>
  <c r="G551" i="1"/>
  <c r="F524" i="1"/>
  <c r="F525" i="1"/>
  <c r="F526" i="1"/>
  <c r="F527" i="1"/>
  <c r="F528" i="1"/>
  <c r="F531" i="1"/>
  <c r="F532" i="1"/>
  <c r="F533" i="1"/>
  <c r="F534" i="1"/>
  <c r="F535" i="1"/>
  <c r="F537" i="1"/>
  <c r="F538" i="1"/>
  <c r="F539" i="1"/>
  <c r="F540" i="1"/>
  <c r="F541" i="1"/>
  <c r="F542" i="1"/>
  <c r="F545" i="1"/>
  <c r="F546" i="1"/>
  <c r="F547" i="1"/>
  <c r="F548" i="1"/>
  <c r="F549" i="1"/>
  <c r="H501" i="1"/>
  <c r="F505" i="1"/>
  <c r="F506" i="1"/>
  <c r="F507" i="1"/>
  <c r="F508" i="1"/>
  <c r="F509" i="1"/>
  <c r="G501" i="1"/>
  <c r="F473" i="1"/>
  <c r="F474" i="1"/>
  <c r="F475" i="1"/>
  <c r="F476" i="1"/>
  <c r="F477" i="1"/>
  <c r="F478" i="1"/>
  <c r="F480" i="1"/>
  <c r="F481" i="1"/>
  <c r="F482" i="1"/>
  <c r="F483" i="1"/>
  <c r="F484" i="1"/>
  <c r="F485" i="1"/>
  <c r="F487" i="1"/>
  <c r="F488" i="1"/>
  <c r="F489" i="1"/>
  <c r="F490" i="1"/>
  <c r="F491" i="1"/>
  <c r="F492" i="1"/>
  <c r="F494" i="1"/>
  <c r="F495" i="1"/>
  <c r="F496" i="1"/>
  <c r="F497" i="1"/>
  <c r="F498" i="1"/>
  <c r="F499" i="1"/>
  <c r="F448" i="1"/>
  <c r="F449" i="1"/>
  <c r="F450" i="1"/>
  <c r="F451" i="1"/>
  <c r="F452" i="1"/>
  <c r="F453" i="1"/>
  <c r="F463" i="1"/>
  <c r="F464" i="1"/>
  <c r="F465" i="1"/>
  <c r="F466" i="1"/>
  <c r="F467" i="1"/>
  <c r="F468" i="1"/>
  <c r="F430" i="1"/>
  <c r="F436" i="1" s="1"/>
  <c r="F424" i="1"/>
  <c r="F425" i="1"/>
  <c r="F426" i="1"/>
  <c r="F428" i="1"/>
  <c r="F419" i="1"/>
  <c r="F420" i="1"/>
  <c r="F421" i="1"/>
  <c r="F412" i="1"/>
  <c r="F413" i="1"/>
  <c r="F414" i="1"/>
  <c r="F402" i="1"/>
  <c r="F404" i="1"/>
  <c r="F406" i="1"/>
  <c r="I363" i="1"/>
  <c r="I369" i="1" s="1"/>
  <c r="I238" i="1"/>
  <c r="I201" i="1"/>
  <c r="H386" i="1"/>
  <c r="G369" i="1"/>
  <c r="F380" i="1"/>
  <c r="F382" i="1"/>
  <c r="F383" i="1"/>
  <c r="F384" i="1"/>
  <c r="F385" i="1"/>
  <c r="F357" i="1"/>
  <c r="F358" i="1"/>
  <c r="F359" i="1"/>
  <c r="F360" i="1"/>
  <c r="F361" i="1"/>
  <c r="F362" i="1"/>
  <c r="F277" i="1"/>
  <c r="F278" i="1"/>
  <c r="F279" i="1"/>
  <c r="F280" i="1"/>
  <c r="F281" i="1"/>
  <c r="F290" i="1"/>
  <c r="F291" i="1"/>
  <c r="F292" i="1"/>
  <c r="F293" i="1"/>
  <c r="F294" i="1"/>
  <c r="F247" i="1"/>
  <c r="F248" i="1"/>
  <c r="F249" i="1"/>
  <c r="F250" i="1"/>
  <c r="F251" i="1"/>
  <c r="F232" i="1"/>
  <c r="F233" i="1"/>
  <c r="F215" i="1"/>
  <c r="F216" i="1"/>
  <c r="F218" i="1"/>
  <c r="F219" i="1"/>
  <c r="F203" i="1"/>
  <c r="F199" i="1"/>
  <c r="F200" i="1"/>
  <c r="G221" i="1"/>
  <c r="I209" i="1"/>
  <c r="I213" i="1" s="1"/>
  <c r="G201" i="1"/>
  <c r="I113" i="1"/>
  <c r="I105" i="1"/>
  <c r="F105" i="1" s="1"/>
  <c r="I61" i="1"/>
  <c r="I68" i="1"/>
  <c r="I22" i="1"/>
  <c r="I29" i="1"/>
  <c r="F107" i="1"/>
  <c r="F108" i="1"/>
  <c r="F109" i="1"/>
  <c r="F110" i="1"/>
  <c r="F111" i="1"/>
  <c r="F112" i="1"/>
  <c r="F104" i="1"/>
  <c r="F102" i="1"/>
  <c r="F101" i="1"/>
  <c r="F100" i="1"/>
  <c r="F99" i="1"/>
  <c r="F85" i="1"/>
  <c r="F83" i="1"/>
  <c r="F55" i="1"/>
  <c r="F61" i="1" s="1"/>
  <c r="F62" i="1"/>
  <c r="F68" i="1" s="1"/>
  <c r="F70" i="1"/>
  <c r="F71" i="1"/>
  <c r="F72" i="1"/>
  <c r="F73" i="1"/>
  <c r="F74" i="1"/>
  <c r="G45" i="1"/>
  <c r="G53" i="1" s="1"/>
  <c r="F39" i="1"/>
  <c r="F40" i="1"/>
  <c r="F41" i="1"/>
  <c r="F42" i="1"/>
  <c r="F43" i="1"/>
  <c r="F44" i="1"/>
  <c r="I45" i="1"/>
  <c r="H45" i="1"/>
  <c r="H53" i="1" s="1"/>
  <c r="J30" i="1"/>
  <c r="G22" i="1"/>
  <c r="G29" i="1"/>
  <c r="F201" i="1" l="1"/>
  <c r="H308" i="1"/>
  <c r="F252" i="1"/>
  <c r="H273" i="1"/>
  <c r="I582" i="1"/>
  <c r="I668" i="1"/>
  <c r="F668" i="1" s="1"/>
  <c r="I445" i="1"/>
  <c r="I551" i="1"/>
  <c r="H445" i="1"/>
  <c r="H520" i="1" s="1"/>
  <c r="H191" i="1"/>
  <c r="H551" i="1"/>
  <c r="H679" i="1" s="1"/>
  <c r="I470" i="1"/>
  <c r="I501" i="1"/>
  <c r="F16" i="1"/>
  <c r="F22" i="1" s="1"/>
  <c r="I221" i="1"/>
  <c r="F220" i="1"/>
  <c r="F221" i="1" s="1"/>
  <c r="I510" i="1"/>
  <c r="F544" i="1"/>
  <c r="F550" i="1" s="1"/>
  <c r="G389" i="1"/>
  <c r="F276" i="1"/>
  <c r="F282" i="1" s="1"/>
  <c r="I75" i="1"/>
  <c r="I81" i="1" s="1"/>
  <c r="I252" i="1"/>
  <c r="F23" i="1"/>
  <c r="F29" i="1" s="1"/>
  <c r="H510" i="1"/>
  <c r="F423" i="1"/>
  <c r="F429" i="1" s="1"/>
  <c r="F523" i="1"/>
  <c r="F529" i="1" s="1"/>
  <c r="F238" i="1"/>
  <c r="F401" i="1"/>
  <c r="F407" i="1" s="1"/>
  <c r="F653" i="1"/>
  <c r="F422" i="1"/>
  <c r="H324" i="1"/>
  <c r="H355" i="1" s="1"/>
  <c r="I616" i="1"/>
  <c r="F616" i="1" s="1"/>
  <c r="I752" i="1"/>
  <c r="F752" i="1" s="1"/>
  <c r="J445" i="1"/>
  <c r="J520" i="1" s="1"/>
  <c r="F324" i="1"/>
  <c r="F696" i="1"/>
  <c r="F702" i="1" s="1"/>
  <c r="F331" i="1"/>
  <c r="H747" i="1"/>
  <c r="H753" i="1" s="1"/>
  <c r="I747" i="1"/>
  <c r="I30" i="1"/>
  <c r="F415" i="1"/>
  <c r="I156" i="1"/>
  <c r="I191" i="1" s="1"/>
  <c r="H30" i="1"/>
  <c r="H114" i="1" s="1"/>
  <c r="F504" i="1"/>
  <c r="F510" i="1" s="1"/>
  <c r="F386" i="1"/>
  <c r="F632" i="1"/>
  <c r="F709" i="1"/>
  <c r="F89" i="1"/>
  <c r="F289" i="1"/>
  <c r="F295" i="1" s="1"/>
  <c r="F493" i="1"/>
  <c r="F567" i="1"/>
  <c r="F591" i="1"/>
  <c r="F599" i="1" s="1"/>
  <c r="F625" i="1"/>
  <c r="F718" i="1"/>
  <c r="F719" i="1" s="1"/>
  <c r="H710" i="1"/>
  <c r="H721" i="1" s="1"/>
  <c r="I97" i="1"/>
  <c r="F97" i="1" s="1"/>
  <c r="F202" i="1"/>
  <c r="F208" i="1" s="1"/>
  <c r="G30" i="1"/>
  <c r="F363" i="1"/>
  <c r="F369" i="1" s="1"/>
  <c r="F469" i="1"/>
  <c r="F454" i="1"/>
  <c r="F543" i="1"/>
  <c r="F615" i="1"/>
  <c r="F646" i="1"/>
  <c r="G710" i="1"/>
  <c r="G721" i="1" s="1"/>
  <c r="F143" i="1"/>
  <c r="F149" i="1" s="1"/>
  <c r="F500" i="1"/>
  <c r="F486" i="1"/>
  <c r="F530" i="1"/>
  <c r="F536" i="1" s="1"/>
  <c r="F560" i="1"/>
  <c r="F608" i="1"/>
  <c r="F695" i="1"/>
  <c r="F479" i="1"/>
  <c r="F45" i="1"/>
  <c r="F639" i="1"/>
  <c r="F660" i="1"/>
  <c r="J710" i="1"/>
  <c r="J721" i="1" s="1"/>
  <c r="F96" i="1"/>
  <c r="F461" i="1"/>
  <c r="F338" i="1"/>
  <c r="F377" i="1"/>
  <c r="F378" i="1" s="1"/>
  <c r="I710" i="1"/>
  <c r="I721" i="1" s="1"/>
  <c r="F688" i="1"/>
  <c r="F748" i="1"/>
  <c r="F75" i="1"/>
  <c r="F81" i="1" s="1"/>
  <c r="F113" i="1"/>
  <c r="F156" i="1"/>
  <c r="F311" i="1"/>
  <c r="F317" i="1" s="1"/>
  <c r="F209" i="1"/>
  <c r="F213" i="1" s="1"/>
  <c r="H389" i="1" l="1"/>
  <c r="F273" i="1"/>
  <c r="F355" i="1"/>
  <c r="I273" i="1"/>
  <c r="I389" i="1" s="1"/>
  <c r="I520" i="1"/>
  <c r="F520" i="1" s="1"/>
  <c r="I679" i="1"/>
  <c r="F679" i="1" s="1"/>
  <c r="I114" i="1"/>
  <c r="F114" i="1" s="1"/>
  <c r="F308" i="1"/>
  <c r="F30" i="1"/>
  <c r="I753" i="1"/>
  <c r="F470" i="1"/>
  <c r="F511" i="1"/>
  <c r="F551" i="1"/>
  <c r="H192" i="1"/>
  <c r="F501" i="1"/>
  <c r="F191" i="1"/>
  <c r="F445" i="1"/>
  <c r="F710" i="1"/>
  <c r="F721" i="1" s="1"/>
  <c r="F582" i="1"/>
  <c r="F747" i="1"/>
  <c r="F753" i="1" s="1"/>
  <c r="I192" i="1" l="1"/>
  <c r="F192" i="1" s="1"/>
  <c r="F389" i="1"/>
</calcChain>
</file>

<file path=xl/sharedStrings.xml><?xml version="1.0" encoding="utf-8"?>
<sst xmlns="http://schemas.openxmlformats.org/spreadsheetml/2006/main" count="833" uniqueCount="413">
  <si>
    <t>Освещение в СМИ передового педагогического опыта работы,публикации материалов о лучших педагогах, педагогических династиях</t>
  </si>
  <si>
    <t>Обеспечение условий для трудоустройства молодежи через организацию трудовых бригад, лагерей труда и отдыха для подростков</t>
  </si>
  <si>
    <t>№</t>
  </si>
  <si>
    <t>Наименование мероприятия</t>
  </si>
  <si>
    <t>Сроки реализации</t>
  </si>
  <si>
    <t>Ответственный исполнитель</t>
  </si>
  <si>
    <t>Годы</t>
  </si>
  <si>
    <t>Предполагаемый объем финансирования</t>
  </si>
  <si>
    <t>Ожидаемый эффект от реализации</t>
  </si>
  <si>
    <t>Всего</t>
  </si>
  <si>
    <t>Федеральный бюджет</t>
  </si>
  <si>
    <t>Областной бюджет</t>
  </si>
  <si>
    <t>Местный бюджет</t>
  </si>
  <si>
    <t>Приносящая доход деятельность</t>
  </si>
  <si>
    <t xml:space="preserve">Подпрограмма № 1«Повышение качества и доступности дошкольного образования» </t>
  </si>
  <si>
    <t>МЕРОПРИЯТИЕ 1. Обеспечение государственных гарантий доступности дошкольного образования</t>
  </si>
  <si>
    <t>1.1.1.</t>
  </si>
  <si>
    <t>Детский сад на 70 мест в с.Правда Холмского района Сахалинской области</t>
  </si>
  <si>
    <t>ВСЕГО</t>
  </si>
  <si>
    <t>1.1.2.</t>
  </si>
  <si>
    <t>ИТОГО по п. 1.1.</t>
  </si>
  <si>
    <t>ИТОГО по п. 1.2.</t>
  </si>
  <si>
    <t>1.3. Обеспечение функционирования дошкольных образовательных организаций</t>
  </si>
  <si>
    <t>Оснащение дополнительно созданных мест в открываемых новых дошкольных образовательных учреждениях (ДОУ) и новых дошкольных групп в действующих ДОУ</t>
  </si>
  <si>
    <t xml:space="preserve">Укрепление материально – технической базы образовательных организаций. </t>
  </si>
  <si>
    <t>Обеспечение функционирования дошкольных образовательных учреждений, в том числе с учетом современных требований энергоэффективности</t>
  </si>
  <si>
    <t>ИТОГО по п. 1.3.</t>
  </si>
  <si>
    <t>1.4. Обеспечение безопасности дошкольных образовательных организаций</t>
  </si>
  <si>
    <t>ИТОГО по п. 1.4</t>
  </si>
  <si>
    <t>1.5. Улучшение материально – технических условий организации образовательного процесса в дошкольных образовательных организациях</t>
  </si>
  <si>
    <t>Установка теневых навесов и малых форм в дошкольных образовательных организациях</t>
  </si>
  <si>
    <t>1.6. Формирование доступной среды</t>
  </si>
  <si>
    <t>Приобретение оборудования для организации обучения детей – инвалидов в дошкольных образовательных организациях</t>
  </si>
  <si>
    <t>Поддержка субъектов малого предпринимательства в сфере дошкольного образования</t>
  </si>
  <si>
    <t xml:space="preserve">Оказание поддержки субъектам малого предпринимательства по оказанию услуг дошкольного образования; повышение качества охвата детей дошкольного возраста разными формами дошкольного образования, в том числе в сельской местности. </t>
  </si>
  <si>
    <t>Финансирование за счет областного бюджета</t>
  </si>
  <si>
    <t>МЕРОПРИЯТИЕ 3. Обеспечение высокого качества услуг дошкольного образования</t>
  </si>
  <si>
    <t xml:space="preserve">3.1.Реализация государственной услуги по предоставлению дошкольного образования в соответствии с федеральным государственным образовательным стандартом дошкольного образования  </t>
  </si>
  <si>
    <t>Реализация государственной услуги по предоставлению дошкольного образования в соответствии с федеральным государственным образовательным стандартом дошкольного образования</t>
  </si>
  <si>
    <t>Будет обеспечен охват детей услугами дошкольного образования в возрасте от 2  месяцев до 7 лет</t>
  </si>
  <si>
    <t>Реализация государственной услуги по предоставлению дошкольного образования в соответствии с федеральным государственным образовательным стандартом дошкольного образования в группах кратковременного пребывания</t>
  </si>
  <si>
    <t>Предоставление услуги заявителем, согласно поданным заявлениям</t>
  </si>
  <si>
    <t>3.2. Обновление технологий и содержания дошкольного образования за счет поддержки инновационных образовательных организаций и их сетевых объединений, в том числе путем проведения конкурсов на лучшую дошкольную образовательную организацию, лучшего педагогического работника</t>
  </si>
  <si>
    <t>3.2.1.</t>
  </si>
  <si>
    <t>ФОТ  педагогических работников дошкольных образовательных организаций</t>
  </si>
  <si>
    <t>Среднемесячная заработная плата педагогических работников муниципальных дошкольных образовательных организаций будет соответствовать среднемесячной заработной плате работников общего организаций образования в регионе повысится качество кадрового состава дошкольного образования.</t>
  </si>
  <si>
    <t>3.2.1.2.</t>
  </si>
  <si>
    <t>ФОТ  обслуживающего персонала дошкольных образовательных организаций</t>
  </si>
  <si>
    <t>3.2.2.</t>
  </si>
  <si>
    <r>
      <t>Обновление технологий и содержания дошкольного образования за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счет поддержки инновационных образовательных организаций и их сетевых объединений, в том числе путем проведения конкурсов на лучшую дошкольную образовательную организацию.</t>
    </r>
  </si>
  <si>
    <t>На конкурсной основе поддержку на внедрение инновационных образовательных технологий и практик получат победители конкурса. Будет обеспечено оснащение вновь созданных учрежденийсовременным оборудованием.</t>
  </si>
  <si>
    <t>Изменение подходов к содержанию, средствам и методам организации воспитательно - образовательного процесса в дошкольных образовательных организациях</t>
  </si>
  <si>
    <t>Методическая поддержка иноваций и инициатив педагогов и организаций</t>
  </si>
  <si>
    <t>Без дополнительного финансирования</t>
  </si>
  <si>
    <t>Повышение статуса педагогических работников дошкольных образовательных организаций, обобщение и распространение  их опыта работы, материальное стимулирование.</t>
  </si>
  <si>
    <t>Выявление и поддержка лидеров дошкольного образования</t>
  </si>
  <si>
    <t>Финансирование за счет общих расходов</t>
  </si>
  <si>
    <t>Строительство спортивного зала Лицея "Надежда"</t>
  </si>
  <si>
    <t>2015 -2016</t>
  </si>
  <si>
    <t>1.1.3.</t>
  </si>
  <si>
    <t>1.2.1.</t>
  </si>
  <si>
    <t>2015 -2020</t>
  </si>
  <si>
    <t>Мероприятие 2. «Повышение качества общего образования»</t>
  </si>
  <si>
    <t>2.1. Реализация государственной услуги по предоставлению начального общего, основного общего, среднего  общего образования по основным общеобразовательным программам</t>
  </si>
  <si>
    <t>2.1.1.</t>
  </si>
  <si>
    <r>
      <t>2.2.</t>
    </r>
    <r>
      <rPr>
        <b/>
        <sz val="11"/>
        <color indexed="8"/>
        <rFont val="Times New Roman"/>
        <family val="1"/>
        <charset val="204"/>
      </rPr>
      <t>Реализация требований федеральных государственных образовательных стандартов</t>
    </r>
  </si>
  <si>
    <t>3.1 .Софинансирование расходных обязательств муниципальных образований по созданию условий для осуществления присмотра и ухода за детьми в общеобразовательных организациях, имеющих интернат, а также по организации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(включая расходы по обеспечению содержания зданий и сооружений), которые по состоянию на 31 декабря 2001 года имели тип специальное (коррекционное) образовательное учреждение для обучающихся, воспитанников с ограниченными возможностями здоровья либо оздоровительное образовательное учреждение санаторного типа для детей, нуждающихся в длительном лечении (далее – на создание условий для осуществления присмотра и ухода за детьми и на организацию предоставления образования в общеобразовательных организациях, которые имеют интернат, и (или)  по состоянию на 31.12.2001 года имели тип специальное (коррекционное) образовательное учреждение для обучающихся, воспитанников с ограниченными возможностями здоровья либо оздоровительное образовательное учреждение санаторного типа для детей, нуждающихся в длительном лечении</t>
  </si>
  <si>
    <t>3.1.2.</t>
  </si>
  <si>
    <t>2015 - 2020</t>
  </si>
  <si>
    <t>Разработка нормативных документов по вопросам воспитания, дополнительного образования и профилактической работе</t>
  </si>
  <si>
    <t>2.1. Реализация муниципальной  услуги по предоставлению дополнительного образования по дополнительным  общеобразовательным программам</t>
  </si>
  <si>
    <r>
      <t>2.2.</t>
    </r>
    <r>
      <rPr>
        <b/>
        <sz val="11"/>
        <color indexed="8"/>
        <rFont val="Times New Roman"/>
        <family val="1"/>
        <charset val="204"/>
      </rPr>
      <t xml:space="preserve">Укрепление материально-технической базы организаций дополнительного образования детей </t>
    </r>
  </si>
  <si>
    <t>2.2.2.</t>
  </si>
  <si>
    <t>Мероприятие 3 «Повышение кадрового потенциала образовательных организаций по вопросам дополнительного образования, воспитания, профилактической работы с детьми и социального неблагополучия в семьях»</t>
  </si>
  <si>
    <t>3.1.  Организация мероприятий, способствующих постоянному повышению уровня квалификации педагогов</t>
  </si>
  <si>
    <t>3.2.  Организация муниципальной системы обмена, распространения и внедреия положительного педагогического опыта</t>
  </si>
  <si>
    <t>4.1. Внедрение в школах муниципального образования программ профессионального самоопределения</t>
  </si>
  <si>
    <t>4.1.1.</t>
  </si>
  <si>
    <t>Организация  и проведение  муниципальных, а также участие в областных творческих конкурсах по различных направленностям дополнительного образования</t>
  </si>
  <si>
    <t>4.1.2.</t>
  </si>
  <si>
    <t>Организация и проведение муниципальных спортивных соревнований, в том числе «Президентских спортивных игр» и «Президентских состязаний».  Участие в областных соревнованиях</t>
  </si>
  <si>
    <t>4.1.3.</t>
  </si>
  <si>
    <t>4.1.4.</t>
  </si>
  <si>
    <t>Организация и проведение  мероприятий, связанных с профилактикой социального неблагополучия в семьях и жестокого обращения с детьми</t>
  </si>
  <si>
    <t>5.1.Проведение мероприятий по формированию положительного имиджа педагога в обществе</t>
  </si>
  <si>
    <t>Модернизация учебно-воспитательного процесса в организациях дополнительного образования</t>
  </si>
  <si>
    <t>Ежемесячная денежная выплата работникам образовательных учреждений, которым присвоено почетное звание «Заслуженный педагог Сахалинской области»</t>
  </si>
  <si>
    <t>Ежемесячная денежная выплата работникам образовательных учреждений, имеющим государственные награды РФ</t>
  </si>
  <si>
    <t>Реализация ведомственной целевой программы Сахалинской области «О государственной поддержке учителей общеобразовательных учреждений при ипотечном кредитовании на 2012 – 2014 годы»</t>
  </si>
  <si>
    <t>Заочное обучение и целевая подготовка специалистов</t>
  </si>
  <si>
    <t>Аттестация педагогический работников муниципальных образовательных организаций</t>
  </si>
  <si>
    <t>Переход на конкурсную основу  отбора руководителей образовательных организаций</t>
  </si>
  <si>
    <t>Введение эффективного контракта как основы трудовых отношений с руководителями, педагогами, работниками системы образования</t>
  </si>
  <si>
    <t>3.1.1.</t>
  </si>
  <si>
    <t>Повышение квалификации работников образования муниципальных образовательных организаций</t>
  </si>
  <si>
    <t>Формирование и сопровождение профессионального развития резерва руководящих кадров учреждений образования</t>
  </si>
  <si>
    <t>Проведение профориентационных мероприятий с обучающимися 10-11 классов школ (консультации, лектории, Дни открытых дверей)</t>
  </si>
  <si>
    <t>Смотры-конкурсы районных методических объединений учителей в рамках профориентационной работы с обучающимися основной и старшей школы</t>
  </si>
  <si>
    <t>5.1. Проведение мероприятий по формированию положительного имиджа педагога в обществе</t>
  </si>
  <si>
    <t>5.1.1.</t>
  </si>
  <si>
    <t>Участие педагогов в областных  конференциях, педагогических чтениях, круглых столах</t>
  </si>
  <si>
    <t>Муниципальные и областные методические выставки по лучшему инновационному опыту педагогов и образовательных организаций</t>
  </si>
  <si>
    <t>Муниципальный конкурс инновационных программ</t>
  </si>
  <si>
    <t>1.1.</t>
  </si>
  <si>
    <t>Организация питания детей</t>
  </si>
  <si>
    <t>1.2.</t>
  </si>
  <si>
    <t>Реализация программ деятельности лагерей, обеспечение их необходимыми канцелярскими и хозяйственными товарами</t>
  </si>
  <si>
    <t>1.3.</t>
  </si>
  <si>
    <t>1.4.</t>
  </si>
  <si>
    <t>Оплата труда педагогических и медицинских работников лагерей с начислениями</t>
  </si>
  <si>
    <t>2.1.</t>
  </si>
  <si>
    <t>Оплата труда  несовершеннолетних с начислениями</t>
  </si>
  <si>
    <t>ИТОГО НА РЕАЛИЗАЦИЮ МУНИЦИПАЛЬНОЙ ПРОГРАММЫ</t>
  </si>
  <si>
    <t>Капитальный ремонт зданий образовательных учреждений позволит привести условия содержания дошкольных образовательных организаций в соответствии с санитарными и иными  требованиями законодательства</t>
  </si>
  <si>
    <t>Создание до 2015 года 70 мест для дошкольников</t>
  </si>
  <si>
    <t>Создание до 2015 года 20 мест для дошкольников</t>
  </si>
  <si>
    <t>Ресурсное обеспечение  муниципальной программы</t>
  </si>
  <si>
    <t>«Развитие образования в муниципальном образовании</t>
  </si>
  <si>
    <t xml:space="preserve"> «Холмский городской округ» на 2015-2020 годы»</t>
  </si>
  <si>
    <t>1.3.1.</t>
  </si>
  <si>
    <t>Капитальный ремонт зданий функционирующих дошкольных образовательных организаций в целях открытия дополнительных мест: МБДОУ д/с № 28 «Рябинка» с.Чехов - 1 группа - 20 мест; МБДОУ № 4 "Маячок"; с.Яблочное - 1 группа-20 мест</t>
  </si>
  <si>
    <t>Укрепление материально-технической базы образовательных учреждений (благоустройство территории, капитальный ремонт, разработка ПСД на благоустройство территории, разработка ПСД на капитальный ремонт)</t>
  </si>
  <si>
    <t>1.2. Капитальный ремонт зданий функционирующих общеобразовательных организаций</t>
  </si>
  <si>
    <t>Развитие муниципальной системы выявления одаренных детей, в том числе проведение муниципальных мероприятий, награждение одаренных школьников (медалистов, победителей и призеров предметных олимпиад)</t>
  </si>
  <si>
    <t>2.2.3.</t>
  </si>
  <si>
    <t>2.2.4.</t>
  </si>
  <si>
    <t>годы</t>
  </si>
  <si>
    <t>2015-2020</t>
  </si>
  <si>
    <t>Школа-детский сад  на 110 мест в с. Пионеры Холмского района Сахалинской области</t>
  </si>
  <si>
    <t>Оснащение дошкольных образовательных организаций специализированным учебным, учебно-наглядным и учебно-производственным оборудованием</t>
  </si>
  <si>
    <t xml:space="preserve">Создание условий для осуществления присмотра и ухода за детьми в общеобразовательных организациях, организация предоставления образования в общеобразовательных организациях. </t>
  </si>
  <si>
    <t>3.2.1. Оплата труда работников дошкольных образовательных организаций</t>
  </si>
  <si>
    <t xml:space="preserve">Оснащение специализированным учебным, учебно-наглядным и учебно-производственным оборудованием:                   - С(К)ОШ  YIII вида </t>
  </si>
  <si>
    <t>3.1.4.</t>
  </si>
  <si>
    <t>Проведение муниципальных семинаров, конференций, круглых столов по вопросам развития воспитания, дополнительного образования и профилактической работы</t>
  </si>
  <si>
    <t>Мероприятия по антитеррористической безопасности образовательных учреждений (оборудование системами видеонаблюдения, установка ограждений)</t>
  </si>
  <si>
    <t>Будет приобретено оборудование для оснащения вновь созданных мест в дошкольных образовательных учреждениях и новых дошкольных группах действующих ДОУ.</t>
  </si>
  <si>
    <t>Обеспечение стабильного функционирования  дошкольных образовательных организаций</t>
  </si>
  <si>
    <t>Обеспечение стабильного функционирования  дошкольных образовательных организаций, экономия потребления электро- и теплоэнергии</t>
  </si>
  <si>
    <t>Установка систем видеонаблюдения, кнопок экстренного вызова полиции позволит обеспечить антитеррористическую безопасность в дошкольных образовательных организациях</t>
  </si>
  <si>
    <t>Выполнение норм и требований пожарного законодательства</t>
  </si>
  <si>
    <t>Будет приобретено оборудование для оснащения действующих дошкольных образовательных учреждениях</t>
  </si>
  <si>
    <t>Обеспечение доступности общего образования. Создание к 2020 году 400 мест для школьников.</t>
  </si>
  <si>
    <t>Ввод в эксплуатацию в 2016 году объекта строительства, открытие нового спортивного зала</t>
  </si>
  <si>
    <t>2019 -2020</t>
  </si>
  <si>
    <t>2017 -2018</t>
  </si>
  <si>
    <t>Комфортные и безопасные условия обучения и воспитания в общеобразовательных учреждениях</t>
  </si>
  <si>
    <t>Мероприятия по антитеррористической безопасности образовательных учреждений (оборудование системами видеонаблюдения, установка и ремонт ограждений и наружного освещения территорий)</t>
  </si>
  <si>
    <t>Введение федеральных государственных образовательных стандартов на 3-х ступенях обучения</t>
  </si>
  <si>
    <t>Обеспечение и проведение государственной итоговой аттестации</t>
  </si>
  <si>
    <t>Реализация функций по контролю за качеством образования</t>
  </si>
  <si>
    <t>Охват специальным (коррекционным) образованием населения в возрасте 7 – 17 лет</t>
  </si>
  <si>
    <t>Обеспечение стабильного функционирования образовательных организаций, экономия потребления электро- и теплоэнергии</t>
  </si>
  <si>
    <t>Увеличится удельный вес талантливых школьников, получивших поддержку со стороны государства</t>
  </si>
  <si>
    <t>5.1.</t>
  </si>
  <si>
    <t>Поддержка общеобразовательных организаций, внедряющих инновационные образовательные программы и проекты</t>
  </si>
  <si>
    <t>6.1.</t>
  </si>
  <si>
    <t xml:space="preserve">Реализация образовательных программ с применением электронного обучения и дистанционных образовательных технологий для:
- детей-инвалидов, обучающихся на дому
</t>
  </si>
  <si>
    <t>Разработка нормативных документов, регламентирующих деятельность ОУ</t>
  </si>
  <si>
    <t>Отношение среднемесячной заработной платы педагогов муниципальных организаций дополнительного образования детей к среднемесячной заработной плате учителей в Сахалинской области</t>
  </si>
  <si>
    <t xml:space="preserve"> Оплата труда работников организаций дополнительного образования детей</t>
  </si>
  <si>
    <t>Оснащение учебным, учебно-наглядным, учебно-лабораторным и другим оборудованием в соответствии с требованиями к реализации программ</t>
  </si>
  <si>
    <t>Будет приобретено оборудование для оснащения учреждений дополнительного образования</t>
  </si>
  <si>
    <t>Приобретение оборудования и материалов в соответствии с программами развития организаций</t>
  </si>
  <si>
    <t>Обеспечение стабильного функционирования учреждений дополнительного образования детей</t>
  </si>
  <si>
    <t>Повышение кадрового потенциала образовательных организаций (участие педагогов в курсах повышения квалификации)</t>
  </si>
  <si>
    <t>Повышение методического, психологического и педагогического  уровня организаторов воспитания и доп. Образования</t>
  </si>
  <si>
    <t>Повышение методического, психологического и педагогического  уровня организаторов воспитания и доп. образования</t>
  </si>
  <si>
    <t>Организация и проведение мероприятий, связанных с развитием детского и молодежного движения. Участие в областных мероприятиях</t>
  </si>
  <si>
    <t xml:space="preserve">Увеличение доли детей, участвующих в конкурсах, соревнованиях и ставших победителями и призерами </t>
  </si>
  <si>
    <t>Уменьшение количества детей в семьях, находящихся в социально опасном положении и подвергшихся жестокому обращению</t>
  </si>
  <si>
    <t>Будет в полном объеме обеспечено финансирование повышения качества учебно-воспитательного процесса</t>
  </si>
  <si>
    <t xml:space="preserve">Доля работников образовательных учреждений, получающих выплаты в соответствии с законами Сахалинской области, от числа имеющих на это право </t>
  </si>
  <si>
    <t xml:space="preserve">Повысится уровень профессионализма педагогических работников муниципальных образовательных организаций. Всем педагогам будут обеспечены возможности непрерывного профессионального развития. </t>
  </si>
  <si>
    <t xml:space="preserve">Будут обеспечены подбор и расстановка кадров в соответствии с квалификационными требованиями, установленными к педагогическим должностям </t>
  </si>
  <si>
    <t xml:space="preserve">Будет сформирована система оценки профессиональных компетенций и личностных качеств руководителей общеобразовательных организаций. </t>
  </si>
  <si>
    <t>Будет завершен переход к эффективному контракту и создана система привлечения молодых специалистов и работников с высокой мотивацией и достаточной квалификацией для обеспечения высокого качества результатов труда</t>
  </si>
  <si>
    <t xml:space="preserve">Создание системы программно-целевого подхода   непрерывного педагогического образования   педагогов муниципальных образовательных учреждений». </t>
  </si>
  <si>
    <t xml:space="preserve">Формирование резерва руководящих кадров муниципальной системы образования и механизмы его регулярного обновления и повышения квалификации                </t>
  </si>
  <si>
    <t xml:space="preserve">Создание условий   для формирования  у обучающихся положительного отношения и психологической готовности к педагогическому труду,  потребности </t>
  </si>
  <si>
    <t>Организация лагерей дневного пребывания различных видов и форм</t>
  </si>
  <si>
    <t>Открытие мастерских по технологии для обучающихся в 5-11 классах, уменьшение количества обучающихся во вторую смену</t>
  </si>
  <si>
    <t xml:space="preserve">Будут созданы условия для формирования позитивного образа педагога, повышения социального статуса и престижа профессии, трансформации и использования передового педагогического опыта лидеров образования и лучших педагогических практик                 </t>
  </si>
  <si>
    <t>Повысится социальный статус и престиж профессии педагога.</t>
  </si>
  <si>
    <t>ИТОГО ПО МЕРОПРИЯТИЮ 2.</t>
  </si>
  <si>
    <t>ИТОГО ПО МЕРОПРИЯТИЮ 3.</t>
  </si>
  <si>
    <t>МЕРОПРИЯТИЕ 2. Создание условий для  максимального охвата детей организованными формами дошкольного образования</t>
  </si>
  <si>
    <t>Мероприятие 1. Развитие инфраструктуры доступности качественного общего образования</t>
  </si>
  <si>
    <r>
      <t>Подпрограмма № 2 «Обеспечение доступности и  качества общего образования, в том числе и в сельской</t>
    </r>
    <r>
      <rPr>
        <u/>
        <sz val="14"/>
        <rFont val="Times New Roman"/>
        <family val="1"/>
        <charset val="204"/>
      </rPr>
      <t xml:space="preserve"> </t>
    </r>
    <r>
      <rPr>
        <b/>
        <u/>
        <sz val="14"/>
        <rFont val="Times New Roman"/>
        <family val="1"/>
        <charset val="204"/>
      </rPr>
      <t xml:space="preserve">местности» </t>
    </r>
  </si>
  <si>
    <t>Мероприятие  3. Развитие инклюзивного образования</t>
  </si>
  <si>
    <t>Мероприятие 4. Выявление и поддержка одаренных детей</t>
  </si>
  <si>
    <t>Мероприятие 5. Поддержка и распространение лучших образцов педагогической практики</t>
  </si>
  <si>
    <t>Мероприятие 6. Внедрение дистанционных образовательных технологий и электронного обучения</t>
  </si>
  <si>
    <t>Мероприятие 1. Развитие нормативно-правовой базы по вопросам воспитания, дополнительного образования, профилактики социального сиротства и жестокого обращения с детьми</t>
  </si>
  <si>
    <t>Мероприятие 2. Организация предоставления дополнительного образования детей в муниципальных образовательных организациях дополнительного образования детей</t>
  </si>
  <si>
    <t>ИТОГО ПО МЕРОПРИЯТИЮ 3</t>
  </si>
  <si>
    <t>Мероприятие 4. Выявление и поддержка талантливых детей в области спорта, туризма, культуры и искусства</t>
  </si>
  <si>
    <t>ИТОГО ПО МЕРОПРИЯТИЮ 4</t>
  </si>
  <si>
    <t>Мероприятие 5. Модернизация учебно - воспитательного процесса в организациях дополнительного образования</t>
  </si>
  <si>
    <t>ИТОГО ПО МЕРОПРИЯТИЮ 5</t>
  </si>
  <si>
    <t>ВСЕГО НА РЕАЛИЗАЦИЮ ПОДПРОГРАММЫ 1</t>
  </si>
  <si>
    <t>ВСЕГО НА РЕАЛИЗАЦИЮ ПОДПРОГРАММЫ 3</t>
  </si>
  <si>
    <t>Подпрограмма 4. Развитие кадрового потенциала</t>
  </si>
  <si>
    <t>Мероприятие 1. Усиление социальной поддержки  и стимулирование  труда педагогических работников через внедрение "Эффективного контракта профессионального стандарта"</t>
  </si>
  <si>
    <t>ИТОГО ПО МЕРОПРИЯТИЮ 1</t>
  </si>
  <si>
    <t>Мероприятие 2. Обновление  состава и  компетенций педагогических кадров, создание  механизмов мотивации педагогов  к повышению  качества работы  и  непрерывному профессиональному развитию</t>
  </si>
  <si>
    <t>2.1. Развитие кадровых ресурсов муниципальной системы образования</t>
  </si>
  <si>
    <t>ИТОГО ПО МЕРОПРИЯТИЮ 2</t>
  </si>
  <si>
    <t>Мероприятие 3. Освоение и внедрение эффективных современных моделей модернизации непрерывного педагогического образования, системы переподготовки и повышения квалификации,  научно-методической поддержки педагогов и руководителей образовательных учреждений</t>
  </si>
  <si>
    <t>3.1. Реализация системы программно-целевого подхода непрерывного педагогического образования руководителей и педагогов муниципальных образовательных учреждений</t>
  </si>
  <si>
    <t>Мероприятие 4. Развитие системы профессиональной ориентации и предпрофессиональной подготовки  выпускников учреждений общего образования</t>
  </si>
  <si>
    <t>Мероприятие 5. Повышение социального  престижа и привлекательности педагогической профессии</t>
  </si>
  <si>
    <t>ВСЕГО НА РЕАЛИЗАЦИЮ ПОДПРОГРАММЫ 4</t>
  </si>
  <si>
    <t>Мероприятие 1. Организация лагерей дневного пребывания, профильных и трудовых лагерей с питанием</t>
  </si>
  <si>
    <t>ВСЕГО НА РЕАЛИЗАЦИЮ ПОДПРОГРАММЫ 5</t>
  </si>
  <si>
    <t xml:space="preserve">Оснащение учебным, учебно-наглядным и учебно-лабораторным оборудованием </t>
  </si>
  <si>
    <t>1.3. Обеспечение безопасности общеобразовательных организаций</t>
  </si>
  <si>
    <t>2016-2020</t>
  </si>
  <si>
    <t>Управление образования администрации МО «Холмский городской округ»</t>
  </si>
  <si>
    <t>Строительство новой школы в 7-ом микрорайоне на 400 мест</t>
  </si>
  <si>
    <t xml:space="preserve">ИТОГО ПО МЕРОПРИЯТИЮ 1 </t>
  </si>
  <si>
    <t>ИТОГО ПО МЕРОПРИЯТИЮ 6</t>
  </si>
  <si>
    <t>ВСЕГО НА РЕАЛИЗАЦИЮ ПОДПРОГРАММЫ 2</t>
  </si>
  <si>
    <t>Благоустройство территории, в т.ч. разработка ПСД</t>
  </si>
  <si>
    <t>2016 - 2020</t>
  </si>
  <si>
    <t xml:space="preserve">Муниципальные профессиональные конкурсы: «Учитель года», «Воспитатель года», «Самый классный классный», «Сердце отдаю детям» </t>
  </si>
  <si>
    <t>Научно - практические конференции, мастер-классы, форумы педагогов-новаторов, научно-практические семинары и круглые столы</t>
  </si>
  <si>
    <t>Муниципальный конкурс «Лидер муниципальной образовательной системы»</t>
  </si>
  <si>
    <t>Обеспечение функционирования учреждений дополнительного образования детей, в том числе с учетом современных требований энергоэффективности</t>
  </si>
  <si>
    <t>Повышение кадрового потенциала образовательных организаций (участие педагогов в областных семинарах, тренингах,конференциях)</t>
  </si>
  <si>
    <t>Подпрограмма 5. Летний отдых, оздоровление и занятость детей и молодёжи</t>
  </si>
  <si>
    <t>Подпрограмма 3 «Развитие системы воспитания, дополнительного образования, профилактики социального сиротства и жестокого обращения с детьми»</t>
  </si>
  <si>
    <t>1.1.  Строительство, реконструкция зданий дошкольных образовательных организаций, в том числе по Планам мероприятий муниципального образования «Холмский городской округ»</t>
  </si>
  <si>
    <t>1.2.  Капитальный ремонт зданий функционирующих дошкольных образовательных организаций</t>
  </si>
  <si>
    <t>Мероприятие 2. Организация временной занятости несовершеннолетних от 14 до 18 лет</t>
  </si>
  <si>
    <t>2.1. Развитие негосударственных и вариативных форм дошкольного образования</t>
  </si>
  <si>
    <t>Реализация плана поэтапного перехода к организации работы в дошкольных образовательных организациях в соответствии с федеральным государственным образовательным стандартом дошкольного образования</t>
  </si>
  <si>
    <t>Оплата труда работников общеобразовательных учреждений</t>
  </si>
  <si>
    <t>Оплата труда учителей, работающих в специальных (коррекционных) образовательных организациях для обучающихся воспитанников с ограниченными возможностями здоровья</t>
  </si>
  <si>
    <t xml:space="preserve">Обеспечение условий для детей-инвалидов, обучающихся на дому, с применением дистанционных образовательных технологий, в том числе: оплата труда учителей, работающих с детьми - инвалидами, обучающимися на дому </t>
  </si>
  <si>
    <t>Приложение № 3</t>
  </si>
  <si>
    <t xml:space="preserve">к муниципальной программе «Развитие образования в муниципальном образовании «Холмский городской округ» на 2015-2020 годы» </t>
  </si>
  <si>
    <t xml:space="preserve">Будут созданы условия для формирования позитивного образа педагога, повышения социального статуса и престижа профессии, трансформации и использования передового педагогического опыта лидеров образования и лучших педагогических практик       </t>
  </si>
  <si>
    <t xml:space="preserve">Укрепление материально – технической базы образовательных учреждений (капитальный ремонт, замена оконных блоков, благоустройство территории, в том числе разработка проектно-сметной документации) </t>
  </si>
  <si>
    <t>1.2.2.</t>
  </si>
  <si>
    <t>2016 -2017</t>
  </si>
  <si>
    <t>1.2.3.</t>
  </si>
  <si>
    <t>3.1.5.</t>
  </si>
  <si>
    <t>Обеспечение пожарной безопасности на территориях образовательных организаций и ликвидация травмоопасных факторов</t>
  </si>
  <si>
    <t>с ОСОШ(516,3)</t>
  </si>
  <si>
    <t>с ОСОШ(420,0)</t>
  </si>
  <si>
    <t>с ОСОШ (200,0)</t>
  </si>
  <si>
    <t>с ОСОШ (300,0)</t>
  </si>
  <si>
    <t>с ОСОШ (444,4+27723)</t>
  </si>
  <si>
    <t>с ОСОШ (511,6+ 18191,2)</t>
  </si>
  <si>
    <t>с ОСОШ(8463,0 + 462558,2)</t>
  </si>
  <si>
    <t>с ОСОШ(7313,+399429,7)</t>
  </si>
  <si>
    <t>с ОСОШ(7668,4+418887,9)</t>
  </si>
  <si>
    <t>с ОСОШ(420,0+11926)</t>
  </si>
  <si>
    <t>Укрепление материально – технической базы образовательных учреждений. Капитальный ремонт МАОУ СОШ с. Яблочное (фасад)</t>
  </si>
  <si>
    <t>Укрепление материально – технической базы образовательных учреждений. Капитальный ремонт купола зимнего сада МБДОУ детского сада «Теремок» г. Холмска</t>
  </si>
  <si>
    <t>Укрепление материально – технической базы образовательных учреждений. Капитальный ремонт фасада здания МБДОУ детского сада № 6 "Ромашка" г. Холмска</t>
  </si>
  <si>
    <t>Компенсация части родительской платы за присмотр и уход за детьми в дошкольных  образовательных учреждениях</t>
  </si>
  <si>
    <t>Укрепление материально – технической базы образовательных учреждений. «Капитальный ремонт МБОУ СОШ с.Костромское» по адресу: Сахалинская область, Холмский район, с. Костромское, ул. Центральная, 4</t>
  </si>
  <si>
    <t>Обновление материально-технической базы общеобразовательных учреждений</t>
  </si>
  <si>
    <t>Осуществление организации питания обучающихся в образовательных организациях</t>
  </si>
  <si>
    <t>Среднемесячная заработная плата педагогических работников муниципальных общеобразовательных организаций будет соответствовать среднемесячной начисленной заработной плате наемных работников в организациях, у индивидуальных предпринимателей и физических лиц (среднемесячного дохода от трудовой деятельности) в Сахалинской области</t>
  </si>
  <si>
    <t>Оплата труда работников  дошкольной группы при общеобразовательных учреждениях</t>
  </si>
  <si>
    <t>Оснащение учебным,учебно-наглядным и учебно-лабораторным  оборудованием дошкольной группы при общеобразовательных учреждениях</t>
  </si>
  <si>
    <t>Ограждение участка административного здания по адресу:ул.Советская 68-А</t>
  </si>
  <si>
    <t>Комфортные и безопасные условия обучения и воспитания в  учреждениях дополнительного образования</t>
  </si>
  <si>
    <t>Осуществление организации питания обучающихся в (коррекционных) образовательных организациях для обучающихся воспитанников с ограниченными возможностями здоровья</t>
  </si>
  <si>
    <t>Обеспечение стабильного функционирования  общеобразовательных организаций</t>
  </si>
  <si>
    <t xml:space="preserve">Предоставление качественного, доступного и здорового питания детям и подросткам во время учебного процесса, сохранение и укрепление их здоровья
</t>
  </si>
  <si>
    <t xml:space="preserve">Материальная поддержка воспитания и обучения детей, посещающих образовательные организации, реализующие образовательную программу дошкольного образования, родителям (законным представителям)
</t>
  </si>
  <si>
    <t>Среднемесячная заработная плата педагогических работников муниципальных дошкольных образовательных организаций будет соответствовать среднемесячной заработной плате работников общего организаций образования, в регионе повысится качество кадрового состава дошкольного образования.</t>
  </si>
  <si>
    <t>Создание условий для функционирования лагерей с питанием: страхование, дератизация, акарицидная обработка, средства оказания первой медицинской помощи</t>
  </si>
  <si>
    <t>Строительство мастерских МБОУ СОШ № 9 г.Холмска</t>
  </si>
  <si>
    <t>1.2.4.</t>
  </si>
  <si>
    <t>1.3.2.</t>
  </si>
  <si>
    <t>1.3.3.</t>
  </si>
  <si>
    <t>1.3.4.</t>
  </si>
  <si>
    <t>1.4.1.</t>
  </si>
  <si>
    <t>1.4.2.</t>
  </si>
  <si>
    <t>1.5.1.</t>
  </si>
  <si>
    <t>1.6.1.</t>
  </si>
  <si>
    <t>3.2.1.1.</t>
  </si>
  <si>
    <t>3.2.3.</t>
  </si>
  <si>
    <t>3.2.4.</t>
  </si>
  <si>
    <t>3.2.5.</t>
  </si>
  <si>
    <t>3.2.6.</t>
  </si>
  <si>
    <t>1.4.3.</t>
  </si>
  <si>
    <t>2.1.2.</t>
  </si>
  <si>
    <t>2.2.1.</t>
  </si>
  <si>
    <t>3.1.3.</t>
  </si>
  <si>
    <t>3.1.6.</t>
  </si>
  <si>
    <t>4.1.</t>
  </si>
  <si>
    <t>4.2.</t>
  </si>
  <si>
    <t>2.2.5.</t>
  </si>
  <si>
    <t>2.2.6.</t>
  </si>
  <si>
    <t>2.1.3.</t>
  </si>
  <si>
    <t>2.1.4.</t>
  </si>
  <si>
    <t>5.1.2.</t>
  </si>
  <si>
    <t>5.1.3.</t>
  </si>
  <si>
    <t>5.1.4.</t>
  </si>
  <si>
    <t>5.1.5.</t>
  </si>
  <si>
    <t>5.1.6.</t>
  </si>
  <si>
    <t>5.1.7.</t>
  </si>
  <si>
    <r>
      <t xml:space="preserve">Конкурсный отбор </t>
    </r>
    <r>
      <rPr>
        <sz val="11"/>
        <color rgb="FF7030A0"/>
        <rFont val="Times New Roman"/>
        <family val="1"/>
        <charset val="204"/>
      </rPr>
      <t>обще</t>
    </r>
    <r>
      <rPr>
        <sz val="11"/>
        <rFont val="Times New Roman"/>
        <family val="1"/>
        <charset val="204"/>
      </rPr>
      <t>образовательных организаций, внедряющих инновационные образовательные программы и проекты. ("Лидер муниципальной системы образования", "Лучшее учреждение года")</t>
    </r>
  </si>
  <si>
    <t>1.5.</t>
  </si>
  <si>
    <t>Льготный провоз школьников в пассажирском транспорте</t>
  </si>
  <si>
    <t>1.6.</t>
  </si>
  <si>
    <t>Обеспечение гарантированного своевременного и безопасного подвоза детей</t>
  </si>
  <si>
    <t>2017 -2020</t>
  </si>
  <si>
    <t>3.1.7.</t>
  </si>
  <si>
    <t>Обеспечение функционирования общеобразовательных учреждений, в том числе с учетом современных требований энергоэффективности</t>
  </si>
  <si>
    <t>Обеспечение функционирования учреждения, в том числе с учетом современных требований энергоэффективности</t>
  </si>
  <si>
    <t>Мероприятие 6. Социальная защита детей</t>
  </si>
  <si>
    <t>2017 - 2020</t>
  </si>
  <si>
    <t>Обеспечение мер социальной поддержки детей-сирот и детей, оставшихся без попечения родителей</t>
  </si>
  <si>
    <t>Администрация МО «Холмский городской округ»</t>
  </si>
  <si>
    <t>Подпрограмма 6. Функционирование прочих учреждений образования</t>
  </si>
  <si>
    <t>Мероприятие 1. Организация ведения бюджетного (бухгалтерского), налогового учета образовательных учреждений, укрепление материально-технической базы</t>
  </si>
  <si>
    <t>Создание условий для организации и ведения бухгалтерского (бухгалтерского), налогового учета образовательных учреждений</t>
  </si>
  <si>
    <t>Мероприятие 2. Хозяйственное обслуживание учреждений образования, укрепление материально-технической базы</t>
  </si>
  <si>
    <t>Мероприятие 3. Обеспечение методического и информационного сопровождения развития муниципальной системы образования, укрепление материально-технической базы</t>
  </si>
  <si>
    <t>Обеспечение предоставления методического обслуживания в области дошкольного, общего и дополнительного образования</t>
  </si>
  <si>
    <t>ВСЕГО НА РЕАЛИЗАЦИЮ ПОДПРОГРАММЫ 6</t>
  </si>
  <si>
    <t>Создание условий для хозяйственного обслуживания учреждений образования</t>
  </si>
  <si>
    <t>Укрепление материально – технической базы образовательных учреждений. Капитальный ремонт МАОУ лицей "Надежда" г.Холмска, расположенного по адресу: ул.Победы,12</t>
  </si>
  <si>
    <t>снято</t>
  </si>
  <si>
    <t>разделить ДОУ 56,0</t>
  </si>
  <si>
    <t>СОШ 144,8</t>
  </si>
  <si>
    <t>УДО 39,7</t>
  </si>
  <si>
    <t>доб.6 меропр.</t>
  </si>
  <si>
    <t>"ЛИДЕР"</t>
  </si>
  <si>
    <t>убрать с 2 подпр.5 меропр.</t>
  </si>
  <si>
    <t>добавили</t>
  </si>
  <si>
    <t>тепло и свет</t>
  </si>
  <si>
    <t>прочие 611</t>
  </si>
  <si>
    <t>по 612</t>
  </si>
  <si>
    <t>добавляем</t>
  </si>
  <si>
    <t>было</t>
  </si>
  <si>
    <t>1.2.5.</t>
  </si>
  <si>
    <t>ОБ</t>
  </si>
  <si>
    <t>МБ</t>
  </si>
  <si>
    <t>фасад СОШ № 1 нам 4238,6+ СЕЗ 6465,6</t>
  </si>
  <si>
    <t>Мероприятие 6. Поддержка и распространение лучших образцов педагогической практики</t>
  </si>
  <si>
    <t>готово</t>
  </si>
  <si>
    <t>сняли 116,3</t>
  </si>
  <si>
    <t>сняли 162,8</t>
  </si>
  <si>
    <t>наше ОБ</t>
  </si>
  <si>
    <t>плюс УК</t>
  </si>
  <si>
    <t>вместе ОБ</t>
  </si>
  <si>
    <t>добавили меропр. И строку</t>
  </si>
  <si>
    <t>добавлена строка</t>
  </si>
  <si>
    <t>прочие,тек.рем.,налоги</t>
  </si>
  <si>
    <t>плюс ФОТ ГПД  и отпуск  и 112</t>
  </si>
  <si>
    <t xml:space="preserve"> и тепло 320</t>
  </si>
  <si>
    <t>с ОСОШ(8713,0 + 470270,8)</t>
  </si>
  <si>
    <t>с ФОТ ПДО</t>
  </si>
  <si>
    <t>доб строку</t>
  </si>
  <si>
    <t>доб.строку</t>
  </si>
  <si>
    <t>С ОСОШ(344,2+41546,4)</t>
  </si>
  <si>
    <t>доб.2524,5</t>
  </si>
  <si>
    <t>(279,6+19019,7)</t>
  </si>
  <si>
    <t>в т.ч ОСОШ</t>
  </si>
  <si>
    <t>доб.</t>
  </si>
  <si>
    <t>тепло и свет 440,1 плюс прочие 2676,7</t>
  </si>
  <si>
    <t>доб.3116,8</t>
  </si>
  <si>
    <t>доб.прочее 27751,9</t>
  </si>
  <si>
    <t>добав.19807,9</t>
  </si>
  <si>
    <t>исправили</t>
  </si>
  <si>
    <t>сняли 2000</t>
  </si>
  <si>
    <t>доб.20619,9</t>
  </si>
  <si>
    <t>доб.4505,7</t>
  </si>
  <si>
    <t>снять 7676,9 и 77,5</t>
  </si>
  <si>
    <t>доб.25,5 софинанс. На все</t>
  </si>
  <si>
    <t>снять 4343,0 и 37,0</t>
  </si>
  <si>
    <t>Укрепление материально – технической базы образовательных учреждений. Капитальный ремонт фасада здания  МАОУ лицей "Надежда" г.Холмска, расположенного по адресу: ул.Московская,4</t>
  </si>
  <si>
    <t>доб.3662,9 и 37</t>
  </si>
  <si>
    <t>доб.7165,3</t>
  </si>
  <si>
    <t>убрано на 4 подпр.6 меропр. 240,5</t>
  </si>
  <si>
    <t>снято 97,5 с нас ОБ</t>
  </si>
  <si>
    <t>доб.62,6 СЕЗ заключение по куполу</t>
  </si>
  <si>
    <t>мы-639,0</t>
  </si>
  <si>
    <t>УК-63,1</t>
  </si>
  <si>
    <t>доб.71,0</t>
  </si>
  <si>
    <t>УФ-61,7 стало</t>
  </si>
  <si>
    <t>мы-108,8</t>
  </si>
  <si>
    <t>УК-10</t>
  </si>
  <si>
    <t>УФ10,5 стало</t>
  </si>
  <si>
    <t>доб.19,2</t>
  </si>
  <si>
    <t>мы-167,8</t>
  </si>
  <si>
    <t>УК-15,4</t>
  </si>
  <si>
    <t>УФ 16,3 стало</t>
  </si>
  <si>
    <t>доб.29,7</t>
  </si>
  <si>
    <t>Комфортные условия обучения и воспитания в общеобразовательных учреждениях</t>
  </si>
  <si>
    <t>Соответствие организации подвоза школьников требованиям ГОСТа</t>
  </si>
  <si>
    <t>Обеспечение своевременной реализации социальных прав и гарантий детей-сирот и детей, оставшихся без попечения родителей</t>
  </si>
  <si>
    <t>Конкурсный отбор образовательных организаций, внедряющих инновационные образовательные программы и проекты. ("Лидер муниципальной системы образования", "Лучшее учреждение года")</t>
  </si>
  <si>
    <t>Обеспечение деятельности Централизованной бухгалтерии учреждений образований по осуществлению бюджетного (бухгалтерского), налогового учета образовательных учреждений</t>
  </si>
  <si>
    <t>Повышение уровня обслуживания учреждений образования</t>
  </si>
  <si>
    <t>Обеспечение методического и информационного сопровождения развития муниципальной системы образования</t>
  </si>
  <si>
    <t>Льготы педагогическим работникам, работникам здравоохранения и культуры, проживающим и работающим в сельской местности, а также проживающим в городе и работающим на селе</t>
  </si>
  <si>
    <t>3.1.</t>
  </si>
  <si>
    <t>Управление образования администрации МО «Холмский городской округ» Управление культуры МО "Холмский городской округ"</t>
  </si>
  <si>
    <t>Укрепление материально – технической базы образовательных учреждений. Ремонт кровли МБДОУ детского сада «Теремок» г. Холмска</t>
  </si>
  <si>
    <t>Управление образования администрации МО «Холмский городской округ» Муниципальное казенное учреждение «Служба единого заказчика»</t>
  </si>
  <si>
    <t>Муниципальное казенное учреждение «Служба единого заказчика»</t>
  </si>
  <si>
    <t>1.4. Обеспечение функционирования общеобразовательных учреждений, в том числе с учетом современных требований энергоэффективности</t>
  </si>
  <si>
    <t xml:space="preserve">Администрация 
МО «Холмский городской округ»
</t>
  </si>
  <si>
    <t>МБУ «Отдел капитального строительства» муниципального образования "Холмский городской округ"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</si>
</sst>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7" x14ac:knownFonts="1">
    <font>
      <sz val="10"/>
      <name val="Arial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sz val="14"/>
      <name val="Arial"/>
      <family val="2"/>
      <charset val="204"/>
    </font>
    <font>
      <b/>
      <i/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4"/>
      <name val="Arial"/>
      <family val="2"/>
      <charset val="204"/>
    </font>
    <font>
      <sz val="12"/>
      <name val="Arial"/>
      <family val="2"/>
      <charset val="204"/>
    </font>
    <font>
      <sz val="9"/>
      <name val="Arial"/>
      <family val="2"/>
      <charset val="204"/>
    </font>
    <font>
      <sz val="11"/>
      <color rgb="FF7030A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u/>
      <sz val="14"/>
      <color rgb="FFFF000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91">
    <xf numFmtId="0" fontId="0" fillId="0" borderId="0" xfId="0"/>
    <xf numFmtId="4" fontId="3" fillId="0" borderId="1" xfId="0" applyNumberFormat="1" applyFont="1" applyFill="1" applyBorder="1" applyAlignment="1"/>
    <xf numFmtId="4" fontId="3" fillId="0" borderId="2" xfId="0" applyNumberFormat="1" applyFont="1" applyFill="1" applyBorder="1" applyAlignment="1"/>
    <xf numFmtId="4" fontId="8" fillId="0" borderId="2" xfId="0" applyNumberFormat="1" applyFont="1" applyFill="1" applyBorder="1" applyAlignment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justify" vertical="top" wrapText="1"/>
    </xf>
    <xf numFmtId="164" fontId="2" fillId="0" borderId="2" xfId="0" applyNumberFormat="1" applyFont="1" applyFill="1" applyBorder="1" applyAlignment="1"/>
    <xf numFmtId="164" fontId="7" fillId="0" borderId="2" xfId="0" applyNumberFormat="1" applyFont="1" applyFill="1" applyBorder="1" applyAlignment="1"/>
    <xf numFmtId="164" fontId="7" fillId="0" borderId="3" xfId="0" applyNumberFormat="1" applyFont="1" applyFill="1" applyBorder="1" applyAlignment="1"/>
    <xf numFmtId="164" fontId="2" fillId="0" borderId="3" xfId="0" applyNumberFormat="1" applyFont="1" applyFill="1" applyBorder="1" applyAlignment="1"/>
    <xf numFmtId="164" fontId="7" fillId="0" borderId="2" xfId="0" applyNumberFormat="1" applyFont="1" applyFill="1" applyBorder="1" applyAlignment="1">
      <alignment wrapText="1"/>
    </xf>
    <xf numFmtId="164" fontId="3" fillId="0" borderId="1" xfId="0" applyNumberFormat="1" applyFont="1" applyFill="1" applyBorder="1" applyAlignment="1"/>
    <xf numFmtId="164" fontId="8" fillId="0" borderId="2" xfId="0" applyNumberFormat="1" applyFont="1" applyFill="1" applyBorder="1" applyAlignment="1"/>
    <xf numFmtId="164" fontId="3" fillId="0" borderId="2" xfId="0" applyNumberFormat="1" applyFont="1" applyFill="1" applyBorder="1" applyAlignment="1"/>
    <xf numFmtId="164" fontId="12" fillId="0" borderId="2" xfId="0" applyNumberFormat="1" applyFont="1" applyFill="1" applyBorder="1" applyAlignment="1"/>
    <xf numFmtId="164" fontId="8" fillId="0" borderId="3" xfId="0" applyNumberFormat="1" applyFont="1" applyFill="1" applyBorder="1"/>
    <xf numFmtId="164" fontId="8" fillId="0" borderId="3" xfId="0" applyNumberFormat="1" applyFont="1" applyFill="1" applyBorder="1" applyAlignment="1">
      <alignment horizontal="right" vertical="top" wrapText="1"/>
    </xf>
    <xf numFmtId="164" fontId="8" fillId="0" borderId="2" xfId="0" applyNumberFormat="1" applyFont="1" applyFill="1" applyBorder="1" applyAlignment="1">
      <alignment horizontal="justify" vertical="top" wrapText="1"/>
    </xf>
    <xf numFmtId="164" fontId="8" fillId="0" borderId="3" xfId="0" applyNumberFormat="1" applyFont="1" applyFill="1" applyBorder="1" applyAlignment="1">
      <alignment horizontal="justify" vertical="top" wrapText="1"/>
    </xf>
    <xf numFmtId="164" fontId="8" fillId="0" borderId="2" xfId="0" applyNumberFormat="1" applyFont="1" applyFill="1" applyBorder="1" applyAlignment="1">
      <alignment horizontal="right" vertical="top" wrapText="1"/>
    </xf>
    <xf numFmtId="164" fontId="8" fillId="0" borderId="4" xfId="0" applyNumberFormat="1" applyFont="1" applyFill="1" applyBorder="1" applyAlignment="1">
      <alignment horizontal="right" vertical="top" wrapText="1"/>
    </xf>
    <xf numFmtId="164" fontId="8" fillId="0" borderId="3" xfId="0" applyNumberFormat="1" applyFont="1" applyFill="1" applyBorder="1" applyAlignment="1">
      <alignment horizontal="right"/>
    </xf>
    <xf numFmtId="164" fontId="14" fillId="0" borderId="2" xfId="0" applyNumberFormat="1" applyFont="1" applyFill="1" applyBorder="1" applyAlignment="1">
      <alignment horizontal="justify" vertical="top" wrapText="1"/>
    </xf>
    <xf numFmtId="0" fontId="8" fillId="0" borderId="2" xfId="0" applyFont="1" applyFill="1" applyBorder="1" applyAlignment="1"/>
    <xf numFmtId="0" fontId="0" fillId="0" borderId="3" xfId="0" applyFill="1" applyBorder="1"/>
    <xf numFmtId="164" fontId="0" fillId="0" borderId="3" xfId="0" applyNumberFormat="1" applyFill="1" applyBorder="1"/>
    <xf numFmtId="164" fontId="3" fillId="0" borderId="3" xfId="0" applyNumberFormat="1" applyFont="1" applyFill="1" applyBorder="1"/>
    <xf numFmtId="164" fontId="3" fillId="0" borderId="3" xfId="0" applyNumberFormat="1" applyFont="1" applyFill="1" applyBorder="1" applyAlignment="1"/>
    <xf numFmtId="0" fontId="14" fillId="0" borderId="0" xfId="0" applyFont="1" applyFill="1"/>
    <xf numFmtId="0" fontId="6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wrapText="1"/>
    </xf>
    <xf numFmtId="0" fontId="8" fillId="0" borderId="3" xfId="0" applyFont="1" applyFill="1" applyBorder="1" applyAlignment="1"/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7" fillId="0" borderId="0" xfId="0" applyFont="1" applyFill="1" applyBorder="1" applyAlignment="1">
      <alignment vertical="top" wrapText="1"/>
    </xf>
    <xf numFmtId="164" fontId="0" fillId="0" borderId="2" xfId="0" applyNumberFormat="1" applyFill="1" applyBorder="1" applyAlignment="1"/>
    <xf numFmtId="0" fontId="8" fillId="0" borderId="5" xfId="0" applyFont="1" applyFill="1" applyBorder="1" applyAlignment="1">
      <alignment horizontal="justify" vertical="top" wrapText="1"/>
    </xf>
    <xf numFmtId="0" fontId="8" fillId="0" borderId="6" xfId="0" applyFont="1" applyFill="1" applyBorder="1" applyAlignment="1">
      <alignment horizontal="justify" vertical="top" wrapText="1"/>
    </xf>
    <xf numFmtId="0" fontId="2" fillId="0" borderId="0" xfId="0" applyFont="1" applyFill="1" applyBorder="1" applyAlignment="1">
      <alignment wrapText="1"/>
    </xf>
    <xf numFmtId="0" fontId="3" fillId="0" borderId="3" xfId="0" applyFont="1" applyFill="1" applyBorder="1"/>
    <xf numFmtId="0" fontId="0" fillId="0" borderId="0" xfId="0" applyFill="1" applyBorder="1" applyAlignment="1">
      <alignment horizontal="justify" vertical="top" wrapText="1"/>
    </xf>
    <xf numFmtId="0" fontId="7" fillId="0" borderId="0" xfId="0" applyFont="1" applyFill="1" applyBorder="1" applyAlignment="1">
      <alignment horizontal="justify" vertical="top" wrapText="1"/>
    </xf>
    <xf numFmtId="0" fontId="11" fillId="0" borderId="3" xfId="0" applyFont="1" applyFill="1" applyBorder="1" applyAlignment="1">
      <alignment horizontal="justify" vertical="top" wrapText="1"/>
    </xf>
    <xf numFmtId="164" fontId="11" fillId="0" borderId="3" xfId="0" applyNumberFormat="1" applyFont="1" applyFill="1" applyBorder="1" applyAlignment="1">
      <alignment horizontal="justify" vertical="top" wrapText="1"/>
    </xf>
    <xf numFmtId="0" fontId="14" fillId="0" borderId="7" xfId="0" applyFont="1" applyFill="1" applyBorder="1" applyAlignment="1">
      <alignment vertical="top" wrapText="1"/>
    </xf>
    <xf numFmtId="0" fontId="14" fillId="0" borderId="8" xfId="0" applyFont="1" applyFill="1" applyBorder="1" applyAlignment="1">
      <alignment vertical="top" wrapText="1"/>
    </xf>
    <xf numFmtId="0" fontId="14" fillId="0" borderId="0" xfId="0" applyFont="1" applyFill="1" applyBorder="1" applyAlignment="1">
      <alignment vertical="top" wrapText="1"/>
    </xf>
    <xf numFmtId="0" fontId="14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/>
    <xf numFmtId="0" fontId="3" fillId="0" borderId="4" xfId="0" applyFont="1" applyFill="1" applyBorder="1" applyAlignment="1"/>
    <xf numFmtId="164" fontId="8" fillId="0" borderId="3" xfId="0" applyNumberFormat="1" applyFont="1" applyFill="1" applyBorder="1" applyAlignment="1"/>
    <xf numFmtId="0" fontId="15" fillId="0" borderId="0" xfId="0" applyFont="1" applyFill="1" applyBorder="1" applyAlignment="1">
      <alignment horizontal="justify" vertical="top" wrapText="1"/>
    </xf>
    <xf numFmtId="4" fontId="0" fillId="0" borderId="0" xfId="0" applyNumberFormat="1" applyFill="1" applyBorder="1"/>
    <xf numFmtId="0" fontId="18" fillId="0" borderId="0" xfId="0" applyFont="1" applyFill="1" applyBorder="1" applyAlignment="1">
      <alignment horizontal="justify" vertical="top" wrapText="1"/>
    </xf>
    <xf numFmtId="0" fontId="0" fillId="0" borderId="0" xfId="0" applyFill="1" applyBorder="1" applyAlignment="1"/>
    <xf numFmtId="0" fontId="8" fillId="0" borderId="11" xfId="0" applyFont="1" applyFill="1" applyBorder="1" applyAlignment="1">
      <alignment horizontal="justify" vertical="top" wrapText="1"/>
    </xf>
    <xf numFmtId="164" fontId="2" fillId="0" borderId="2" xfId="0" applyNumberFormat="1" applyFont="1" applyFill="1" applyBorder="1"/>
    <xf numFmtId="0" fontId="2" fillId="0" borderId="2" xfId="0" applyFont="1" applyFill="1" applyBorder="1"/>
    <xf numFmtId="0" fontId="20" fillId="0" borderId="11" xfId="0" applyFont="1" applyFill="1" applyBorder="1" applyAlignment="1">
      <alignment wrapText="1"/>
    </xf>
    <xf numFmtId="0" fontId="20" fillId="0" borderId="12" xfId="0" applyFont="1" applyFill="1" applyBorder="1" applyAlignment="1">
      <alignment wrapText="1"/>
    </xf>
    <xf numFmtId="0" fontId="8" fillId="0" borderId="2" xfId="0" applyFont="1" applyFill="1" applyBorder="1" applyAlignment="1">
      <alignment horizontal="justify" vertical="top" wrapText="1"/>
    </xf>
    <xf numFmtId="0" fontId="20" fillId="0" borderId="11" xfId="0" applyFont="1" applyFill="1" applyBorder="1" applyAlignment="1">
      <alignment horizontal="justify" vertical="top" wrapText="1"/>
    </xf>
    <xf numFmtId="0" fontId="20" fillId="0" borderId="12" xfId="0" applyFont="1" applyFill="1" applyBorder="1" applyAlignment="1">
      <alignment horizontal="justify" vertical="top" wrapText="1"/>
    </xf>
    <xf numFmtId="0" fontId="20" fillId="0" borderId="0" xfId="0" applyFont="1" applyFill="1" applyBorder="1" applyAlignment="1">
      <alignment vertical="top" wrapText="1"/>
    </xf>
    <xf numFmtId="0" fontId="20" fillId="0" borderId="9" xfId="0" applyFont="1" applyFill="1" applyBorder="1" applyAlignment="1">
      <alignment vertical="top" wrapText="1"/>
    </xf>
    <xf numFmtId="0" fontId="15" fillId="0" borderId="11" xfId="0" applyFont="1" applyFill="1" applyBorder="1" applyAlignment="1">
      <alignment vertical="top" wrapText="1"/>
    </xf>
    <xf numFmtId="0" fontId="15" fillId="0" borderId="12" xfId="0" applyFont="1" applyFill="1" applyBorder="1" applyAlignment="1">
      <alignment vertical="top" wrapText="1"/>
    </xf>
    <xf numFmtId="0" fontId="18" fillId="0" borderId="11" xfId="0" applyFont="1" applyFill="1" applyBorder="1" applyAlignment="1">
      <alignment wrapText="1"/>
    </xf>
    <xf numFmtId="0" fontId="18" fillId="0" borderId="12" xfId="0" applyFont="1" applyFill="1" applyBorder="1" applyAlignment="1">
      <alignment wrapText="1"/>
    </xf>
    <xf numFmtId="0" fontId="8" fillId="0" borderId="11" xfId="0" applyFont="1" applyFill="1" applyBorder="1" applyAlignment="1">
      <alignment wrapText="1"/>
    </xf>
    <xf numFmtId="0" fontId="8" fillId="0" borderId="12" xfId="0" applyFont="1" applyFill="1" applyBorder="1" applyAlignment="1">
      <alignment wrapText="1"/>
    </xf>
    <xf numFmtId="0" fontId="8" fillId="0" borderId="12" xfId="0" applyFont="1" applyFill="1" applyBorder="1" applyAlignment="1">
      <alignment horizontal="justify" vertical="top" wrapText="1"/>
    </xf>
    <xf numFmtId="0" fontId="16" fillId="0" borderId="11" xfId="0" applyFont="1" applyFill="1" applyBorder="1" applyAlignment="1">
      <alignment wrapText="1"/>
    </xf>
    <xf numFmtId="0" fontId="16" fillId="0" borderId="12" xfId="0" applyFont="1" applyFill="1" applyBorder="1" applyAlignment="1">
      <alignment wrapText="1"/>
    </xf>
    <xf numFmtId="0" fontId="7" fillId="0" borderId="7" xfId="0" applyFont="1" applyFill="1" applyBorder="1" applyAlignment="1">
      <alignment horizontal="justify" vertical="top" wrapText="1"/>
    </xf>
    <xf numFmtId="0" fontId="6" fillId="0" borderId="0" xfId="0" applyFont="1" applyFill="1" applyBorder="1" applyAlignment="1">
      <alignment vertical="top" wrapText="1"/>
    </xf>
    <xf numFmtId="0" fontId="8" fillId="0" borderId="7" xfId="0" applyFont="1" applyFill="1" applyBorder="1" applyAlignment="1">
      <alignment wrapText="1"/>
    </xf>
    <xf numFmtId="0" fontId="8" fillId="0" borderId="8" xfId="0" applyFont="1" applyFill="1" applyBorder="1" applyAlignment="1">
      <alignment wrapText="1"/>
    </xf>
    <xf numFmtId="164" fontId="3" fillId="0" borderId="4" xfId="0" applyNumberFormat="1" applyFont="1" applyFill="1" applyBorder="1" applyAlignment="1">
      <alignment horizontal="right" vertical="top" wrapText="1"/>
    </xf>
    <xf numFmtId="4" fontId="3" fillId="0" borderId="4" xfId="0" applyNumberFormat="1" applyFont="1" applyFill="1" applyBorder="1" applyAlignment="1">
      <alignment horizontal="justify" vertical="top" wrapText="1"/>
    </xf>
    <xf numFmtId="0" fontId="8" fillId="0" borderId="11" xfId="0" applyFont="1" applyFill="1" applyBorder="1" applyAlignment="1">
      <alignment vertical="top" wrapText="1"/>
    </xf>
    <xf numFmtId="0" fontId="8" fillId="0" borderId="12" xfId="0" applyFont="1" applyFill="1" applyBorder="1" applyAlignment="1">
      <alignment vertical="top" wrapText="1"/>
    </xf>
    <xf numFmtId="0" fontId="11" fillId="0" borderId="11" xfId="0" applyFont="1" applyFill="1" applyBorder="1" applyAlignment="1">
      <alignment wrapText="1"/>
    </xf>
    <xf numFmtId="0" fontId="11" fillId="0" borderId="12" xfId="0" applyFont="1" applyFill="1" applyBorder="1" applyAlignment="1">
      <alignment wrapText="1"/>
    </xf>
    <xf numFmtId="164" fontId="3" fillId="0" borderId="4" xfId="0" applyNumberFormat="1" applyFont="1" applyFill="1" applyBorder="1" applyAlignment="1">
      <alignment horizontal="justify" vertical="top" wrapText="1"/>
    </xf>
    <xf numFmtId="164" fontId="3" fillId="0" borderId="15" xfId="0" applyNumberFormat="1" applyFont="1" applyFill="1" applyBorder="1" applyAlignment="1">
      <alignment horizontal="justify" vertical="top" wrapText="1"/>
    </xf>
    <xf numFmtId="0" fontId="7" fillId="0" borderId="11" xfId="0" applyFont="1" applyFill="1" applyBorder="1" applyAlignment="1">
      <alignment wrapText="1"/>
    </xf>
    <xf numFmtId="0" fontId="7" fillId="0" borderId="12" xfId="0" applyFont="1" applyFill="1" applyBorder="1" applyAlignment="1">
      <alignment wrapText="1"/>
    </xf>
    <xf numFmtId="164" fontId="8" fillId="0" borderId="15" xfId="0" applyNumberFormat="1" applyFont="1" applyFill="1" applyBorder="1" applyAlignment="1">
      <alignment horizontal="right" vertical="top" wrapText="1"/>
    </xf>
    <xf numFmtId="164" fontId="3" fillId="0" borderId="10" xfId="0" applyNumberFormat="1" applyFont="1" applyFill="1" applyBorder="1" applyAlignment="1"/>
    <xf numFmtId="0" fontId="0" fillId="0" borderId="2" xfId="0" applyFill="1" applyBorder="1"/>
    <xf numFmtId="0" fontId="20" fillId="0" borderId="5" xfId="0" applyFont="1" applyFill="1" applyBorder="1" applyAlignment="1">
      <alignment vertical="top" wrapText="1"/>
    </xf>
    <xf numFmtId="0" fontId="20" fillId="0" borderId="6" xfId="0" applyFont="1" applyFill="1" applyBorder="1" applyAlignment="1">
      <alignment vertical="top" wrapText="1"/>
    </xf>
    <xf numFmtId="164" fontId="3" fillId="0" borderId="2" xfId="0" applyNumberFormat="1" applyFont="1" applyFill="1" applyBorder="1" applyAlignment="1">
      <alignment horizontal="right" vertical="top" wrapText="1"/>
    </xf>
    <xf numFmtId="2" fontId="0" fillId="0" borderId="0" xfId="0" applyNumberFormat="1" applyFill="1"/>
    <xf numFmtId="0" fontId="7" fillId="0" borderId="2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justify" wrapText="1"/>
    </xf>
    <xf numFmtId="0" fontId="14" fillId="0" borderId="2" xfId="0" applyFont="1" applyFill="1" applyBorder="1" applyAlignment="1">
      <alignment horizontal="center" vertical="center" wrapText="1"/>
    </xf>
    <xf numFmtId="164" fontId="8" fillId="0" borderId="4" xfId="0" applyNumberFormat="1" applyFont="1" applyFill="1" applyBorder="1" applyAlignment="1">
      <alignment horizontal="right" wrapText="1"/>
    </xf>
    <xf numFmtId="0" fontId="2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justify" vertical="center" wrapText="1"/>
    </xf>
    <xf numFmtId="0" fontId="21" fillId="0" borderId="2" xfId="0" applyFont="1" applyFill="1" applyBorder="1" applyAlignment="1">
      <alignment horizontal="justify" vertical="center" wrapText="1"/>
    </xf>
    <xf numFmtId="0" fontId="14" fillId="0" borderId="2" xfId="0" applyFont="1" applyFill="1" applyBorder="1" applyAlignment="1">
      <alignment horizontal="justify" vertical="top" wrapText="1"/>
    </xf>
    <xf numFmtId="0" fontId="14" fillId="0" borderId="11" xfId="0" applyFont="1" applyFill="1" applyBorder="1" applyAlignment="1">
      <alignment wrapText="1"/>
    </xf>
    <xf numFmtId="0" fontId="14" fillId="0" borderId="12" xfId="0" applyFont="1" applyFill="1" applyBorder="1" applyAlignment="1">
      <alignment wrapText="1"/>
    </xf>
    <xf numFmtId="0" fontId="11" fillId="0" borderId="2" xfId="0" applyFont="1" applyFill="1" applyBorder="1" applyAlignment="1">
      <alignment horizontal="justify" vertical="top" wrapText="1"/>
    </xf>
    <xf numFmtId="164" fontId="8" fillId="0" borderId="2" xfId="0" applyNumberFormat="1" applyFont="1" applyFill="1" applyBorder="1" applyAlignment="1">
      <alignment horizontal="justify" wrapText="1"/>
    </xf>
    <xf numFmtId="164" fontId="11" fillId="0" borderId="2" xfId="0" applyNumberFormat="1" applyFont="1" applyFill="1" applyBorder="1" applyAlignment="1">
      <alignment horizontal="justify" vertical="top" wrapText="1"/>
    </xf>
    <xf numFmtId="164" fontId="8" fillId="0" borderId="2" xfId="0" applyNumberFormat="1" applyFont="1" applyFill="1" applyBorder="1"/>
    <xf numFmtId="164" fontId="12" fillId="0" borderId="2" xfId="0" applyNumberFormat="1" applyFont="1" applyFill="1" applyBorder="1"/>
    <xf numFmtId="164" fontId="3" fillId="0" borderId="16" xfId="0" applyNumberFormat="1" applyFont="1" applyFill="1" applyBorder="1" applyAlignment="1"/>
    <xf numFmtId="164" fontId="8" fillId="0" borderId="16" xfId="0" applyNumberFormat="1" applyFont="1" applyFill="1" applyBorder="1" applyAlignment="1"/>
    <xf numFmtId="0" fontId="0" fillId="0" borderId="3" xfId="0" applyFill="1" applyBorder="1" applyAlignment="1"/>
    <xf numFmtId="164" fontId="3" fillId="0" borderId="29" xfId="0" applyNumberFormat="1" applyFont="1" applyFill="1" applyBorder="1" applyAlignment="1">
      <alignment horizontal="right" vertical="top" wrapText="1"/>
    </xf>
    <xf numFmtId="0" fontId="8" fillId="0" borderId="38" xfId="0" applyFont="1" applyFill="1" applyBorder="1" applyAlignment="1">
      <alignment horizontal="justify" vertical="top" wrapText="1"/>
    </xf>
    <xf numFmtId="164" fontId="8" fillId="0" borderId="38" xfId="0" applyNumberFormat="1" applyFont="1" applyFill="1" applyBorder="1" applyAlignment="1">
      <alignment horizontal="right" vertical="top" wrapText="1"/>
    </xf>
    <xf numFmtId="164" fontId="8" fillId="0" borderId="38" xfId="0" applyNumberFormat="1" applyFont="1" applyFill="1" applyBorder="1" applyAlignment="1">
      <alignment horizontal="justify" vertical="top" wrapText="1"/>
    </xf>
    <xf numFmtId="0" fontId="8" fillId="0" borderId="39" xfId="0" applyFont="1" applyFill="1" applyBorder="1" applyAlignment="1">
      <alignment horizontal="justify" vertical="top" wrapText="1"/>
    </xf>
    <xf numFmtId="0" fontId="16" fillId="0" borderId="38" xfId="0" applyFont="1" applyFill="1" applyBorder="1" applyAlignment="1">
      <alignment horizontal="justify" vertical="top" wrapText="1"/>
    </xf>
    <xf numFmtId="164" fontId="11" fillId="0" borderId="38" xfId="0" applyNumberFormat="1" applyFont="1" applyFill="1" applyBorder="1" applyAlignment="1">
      <alignment horizontal="justify" vertical="top" wrapText="1"/>
    </xf>
    <xf numFmtId="0" fontId="11" fillId="0" borderId="39" xfId="0" applyFont="1" applyFill="1" applyBorder="1" applyAlignment="1">
      <alignment horizontal="justify" vertical="top" wrapText="1"/>
    </xf>
    <xf numFmtId="0" fontId="1" fillId="0" borderId="0" xfId="0" applyFont="1" applyFill="1"/>
    <xf numFmtId="0" fontId="8" fillId="0" borderId="16" xfId="0" applyFont="1" applyFill="1" applyBorder="1" applyAlignment="1">
      <alignment horizontal="justify" vertical="top" wrapText="1"/>
    </xf>
    <xf numFmtId="0" fontId="2" fillId="0" borderId="16" xfId="0" applyFont="1" applyFill="1" applyBorder="1"/>
    <xf numFmtId="164" fontId="2" fillId="0" borderId="38" xfId="0" applyNumberFormat="1" applyFont="1" applyFill="1" applyBorder="1"/>
    <xf numFmtId="0" fontId="2" fillId="0" borderId="39" xfId="0" applyFont="1" applyFill="1" applyBorder="1"/>
    <xf numFmtId="0" fontId="1" fillId="0" borderId="0" xfId="0" applyFont="1" applyFill="1" applyBorder="1"/>
    <xf numFmtId="0" fontId="29" fillId="0" borderId="0" xfId="0" applyFont="1" applyFill="1"/>
    <xf numFmtId="164" fontId="3" fillId="0" borderId="0" xfId="0" applyNumberFormat="1" applyFont="1" applyFill="1" applyBorder="1" applyAlignment="1"/>
    <xf numFmtId="164" fontId="8" fillId="0" borderId="2" xfId="0" applyNumberFormat="1" applyFont="1" applyFill="1" applyBorder="1" applyAlignment="1">
      <alignment vertical="top"/>
    </xf>
    <xf numFmtId="164" fontId="0" fillId="0" borderId="0" xfId="0" applyNumberFormat="1" applyFill="1"/>
    <xf numFmtId="0" fontId="0" fillId="0" borderId="10" xfId="0" applyFill="1" applyBorder="1"/>
    <xf numFmtId="0" fontId="0" fillId="0" borderId="23" xfId="0" applyFill="1" applyBorder="1"/>
    <xf numFmtId="164" fontId="0" fillId="0" borderId="23" xfId="0" applyNumberFormat="1" applyFill="1" applyBorder="1"/>
    <xf numFmtId="0" fontId="0" fillId="0" borderId="23" xfId="0" applyFill="1" applyBorder="1" applyAlignment="1">
      <alignment horizontal="right"/>
    </xf>
    <xf numFmtId="0" fontId="0" fillId="0" borderId="4" xfId="0" applyFill="1" applyBorder="1"/>
    <xf numFmtId="0" fontId="0" fillId="0" borderId="13" xfId="0" applyFill="1" applyBorder="1"/>
    <xf numFmtId="0" fontId="0" fillId="0" borderId="14" xfId="0" applyFill="1" applyBorder="1"/>
    <xf numFmtId="0" fontId="0" fillId="0" borderId="15" xfId="0" applyFill="1" applyBorder="1"/>
    <xf numFmtId="164" fontId="3" fillId="0" borderId="4" xfId="0" applyNumberFormat="1" applyFont="1" applyFill="1" applyBorder="1" applyAlignment="1"/>
    <xf numFmtId="4" fontId="0" fillId="0" borderId="0" xfId="0" applyNumberFormat="1" applyFill="1"/>
    <xf numFmtId="164" fontId="1" fillId="0" borderId="0" xfId="0" applyNumberFormat="1" applyFont="1" applyFill="1"/>
    <xf numFmtId="0" fontId="7" fillId="0" borderId="4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1" fillId="0" borderId="23" xfId="0" applyFont="1" applyFill="1" applyBorder="1"/>
    <xf numFmtId="164" fontId="0" fillId="0" borderId="10" xfId="0" applyNumberFormat="1" applyFill="1" applyBorder="1"/>
    <xf numFmtId="164" fontId="0" fillId="0" borderId="4" xfId="0" applyNumberFormat="1" applyFill="1" applyBorder="1"/>
    <xf numFmtId="164" fontId="0" fillId="0" borderId="0" xfId="0" applyNumberFormat="1" applyFill="1" applyBorder="1"/>
    <xf numFmtId="0" fontId="1" fillId="0" borderId="10" xfId="0" applyFont="1" applyFill="1" applyBorder="1"/>
    <xf numFmtId="164" fontId="33" fillId="0" borderId="0" xfId="0" applyNumberFormat="1" applyFont="1" applyFill="1"/>
    <xf numFmtId="0" fontId="33" fillId="0" borderId="0" xfId="0" applyFont="1" applyFill="1"/>
    <xf numFmtId="164" fontId="2" fillId="0" borderId="0" xfId="0" applyNumberFormat="1" applyFont="1" applyFill="1" applyBorder="1" applyAlignment="1">
      <alignment horizontal="center"/>
    </xf>
    <xf numFmtId="164" fontId="34" fillId="0" borderId="11" xfId="0" applyNumberFormat="1" applyFont="1" applyFill="1" applyBorder="1" applyAlignment="1">
      <alignment horizontal="justify" vertical="top" wrapText="1"/>
    </xf>
    <xf numFmtId="0" fontId="34" fillId="0" borderId="11" xfId="0" applyFont="1" applyFill="1" applyBorder="1" applyAlignment="1">
      <alignment horizontal="justify" vertical="top" wrapText="1"/>
    </xf>
    <xf numFmtId="164" fontId="35" fillId="0" borderId="7" xfId="0" applyNumberFormat="1" applyFont="1" applyFill="1" applyBorder="1" applyAlignment="1">
      <alignment horizontal="justify" vertical="top" wrapText="1"/>
    </xf>
    <xf numFmtId="0" fontId="35" fillId="0" borderId="7" xfId="0" applyFont="1" applyFill="1" applyBorder="1" applyAlignment="1">
      <alignment horizontal="justify" vertical="top" wrapText="1"/>
    </xf>
    <xf numFmtId="4" fontId="33" fillId="0" borderId="0" xfId="0" applyNumberFormat="1" applyFont="1" applyFill="1" applyBorder="1"/>
    <xf numFmtId="0" fontId="33" fillId="0" borderId="0" xfId="0" applyFont="1" applyFill="1" applyBorder="1"/>
    <xf numFmtId="4" fontId="33" fillId="0" borderId="0" xfId="0" applyNumberFormat="1" applyFont="1" applyFill="1"/>
    <xf numFmtId="0" fontId="8" fillId="0" borderId="3" xfId="0" applyFont="1" applyFill="1" applyBorder="1" applyAlignment="1">
      <alignment horizontal="right" wrapText="1"/>
    </xf>
    <xf numFmtId="0" fontId="8" fillId="0" borderId="2" xfId="0" applyFont="1" applyFill="1" applyBorder="1" applyAlignment="1">
      <alignment horizontal="right" wrapText="1"/>
    </xf>
    <xf numFmtId="164" fontId="8" fillId="0" borderId="2" xfId="0" applyNumberFormat="1" applyFont="1" applyFill="1" applyBorder="1" applyAlignment="1">
      <alignment horizontal="right" wrapText="1"/>
    </xf>
    <xf numFmtId="0" fontId="1" fillId="0" borderId="4" xfId="0" applyFont="1" applyFill="1" applyBorder="1"/>
    <xf numFmtId="0" fontId="1" fillId="0" borderId="23" xfId="0" applyFont="1" applyFill="1" applyBorder="1" applyAlignment="1">
      <alignment horizontal="center"/>
    </xf>
    <xf numFmtId="0" fontId="11" fillId="0" borderId="10" xfId="0" applyFont="1" applyFill="1" applyBorder="1" applyAlignment="1">
      <alignment horizontal="justify" vertical="top" wrapText="1"/>
    </xf>
    <xf numFmtId="164" fontId="8" fillId="0" borderId="38" xfId="0" applyNumberFormat="1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center" wrapText="1"/>
    </xf>
    <xf numFmtId="164" fontId="33" fillId="0" borderId="0" xfId="0" applyNumberFormat="1" applyFont="1" applyFill="1" applyBorder="1"/>
    <xf numFmtId="164" fontId="3" fillId="0" borderId="2" xfId="0" applyNumberFormat="1" applyFont="1" applyFill="1" applyBorder="1" applyAlignment="1">
      <alignment horizontal="right" wrapText="1"/>
    </xf>
    <xf numFmtId="164" fontId="7" fillId="0" borderId="2" xfId="0" applyNumberFormat="1" applyFont="1" applyFill="1" applyBorder="1" applyAlignment="1">
      <alignment horizontal="right" vertical="top" wrapText="1"/>
    </xf>
    <xf numFmtId="164" fontId="14" fillId="0" borderId="2" xfId="0" applyNumberFormat="1" applyFont="1" applyFill="1" applyBorder="1" applyAlignment="1">
      <alignment horizontal="right" vertical="top" wrapText="1"/>
    </xf>
    <xf numFmtId="164" fontId="7" fillId="0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 wrapText="1"/>
    </xf>
    <xf numFmtId="164" fontId="8" fillId="0" borderId="2" xfId="0" applyNumberFormat="1" applyFont="1" applyFill="1" applyBorder="1" applyAlignment="1">
      <alignment vertical="top" wrapText="1"/>
    </xf>
    <xf numFmtId="0" fontId="1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justify" vertical="top" wrapText="1"/>
    </xf>
    <xf numFmtId="0" fontId="2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justify" vertical="top" wrapText="1"/>
    </xf>
    <xf numFmtId="0" fontId="7" fillId="0" borderId="2" xfId="0" applyFont="1" applyFill="1" applyBorder="1" applyAlignment="1">
      <alignment wrapText="1"/>
    </xf>
    <xf numFmtId="0" fontId="9" fillId="0" borderId="2" xfId="0" applyFont="1" applyFill="1" applyBorder="1" applyAlignment="1">
      <alignment wrapText="1"/>
    </xf>
    <xf numFmtId="0" fontId="7" fillId="0" borderId="2" xfId="0" applyFont="1" applyFill="1" applyBorder="1" applyAlignment="1">
      <alignment horizontal="justify" vertical="top" wrapText="1"/>
    </xf>
    <xf numFmtId="0" fontId="0" fillId="0" borderId="2" xfId="0" applyFill="1" applyBorder="1" applyAlignment="1"/>
    <xf numFmtId="0" fontId="0" fillId="0" borderId="2" xfId="0" applyFill="1" applyBorder="1" applyAlignment="1">
      <alignment horizontal="justify" vertical="top" wrapText="1"/>
    </xf>
    <xf numFmtId="0" fontId="3" fillId="0" borderId="3" xfId="0" applyFont="1" applyFill="1" applyBorder="1" applyAlignment="1"/>
    <xf numFmtId="0" fontId="3" fillId="0" borderId="1" xfId="0" applyFont="1" applyFill="1" applyBorder="1" applyAlignment="1"/>
    <xf numFmtId="0" fontId="3" fillId="0" borderId="0" xfId="0" applyFont="1" applyFill="1" applyAlignment="1">
      <alignment horizontal="justify"/>
    </xf>
    <xf numFmtId="0" fontId="2" fillId="0" borderId="2" xfId="0" applyFont="1" applyFill="1" applyBorder="1" applyAlignment="1">
      <alignment horizontal="center" wrapText="1"/>
    </xf>
    <xf numFmtId="0" fontId="0" fillId="0" borderId="2" xfId="0" applyFill="1" applyBorder="1" applyAlignment="1">
      <alignment wrapText="1"/>
    </xf>
    <xf numFmtId="0" fontId="3" fillId="0" borderId="2" xfId="0" applyFont="1" applyFill="1" applyBorder="1" applyAlignment="1"/>
    <xf numFmtId="0" fontId="7" fillId="0" borderId="10" xfId="0" applyFont="1" applyFill="1" applyBorder="1" applyAlignment="1">
      <alignment horizontal="justify" vertical="top" wrapText="1"/>
    </xf>
    <xf numFmtId="0" fontId="0" fillId="0" borderId="23" xfId="0" applyFill="1" applyBorder="1" applyAlignment="1">
      <alignment horizontal="justify" vertical="top" wrapText="1"/>
    </xf>
    <xf numFmtId="0" fontId="0" fillId="0" borderId="4" xfId="0" applyFill="1" applyBorder="1" applyAlignment="1">
      <alignment horizontal="justify" vertical="top" wrapText="1"/>
    </xf>
    <xf numFmtId="0" fontId="3" fillId="0" borderId="0" xfId="0" applyFont="1" applyFill="1" applyBorder="1" applyAlignment="1">
      <alignment horizontal="justify" vertical="top" wrapText="1"/>
    </xf>
    <xf numFmtId="0" fontId="8" fillId="0" borderId="0" xfId="0" applyFont="1" applyFill="1" applyBorder="1" applyAlignment="1">
      <alignment horizontal="justify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wrapText="1"/>
    </xf>
    <xf numFmtId="0" fontId="9" fillId="0" borderId="2" xfId="0" applyFont="1" applyFill="1" applyBorder="1" applyAlignment="1">
      <alignment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justify" wrapText="1"/>
    </xf>
    <xf numFmtId="0" fontId="0" fillId="0" borderId="10" xfId="0" applyFill="1" applyBorder="1" applyAlignment="1"/>
    <xf numFmtId="0" fontId="14" fillId="0" borderId="33" xfId="0" applyFont="1" applyFill="1" applyBorder="1" applyAlignment="1">
      <alignment horizontal="justify" vertical="top" wrapText="1"/>
    </xf>
    <xf numFmtId="0" fontId="22" fillId="0" borderId="11" xfId="0" applyFont="1" applyFill="1" applyBorder="1" applyAlignment="1">
      <alignment horizontal="justify" vertical="top" wrapText="1"/>
    </xf>
    <xf numFmtId="0" fontId="22" fillId="0" borderId="12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wrapText="1"/>
    </xf>
    <xf numFmtId="0" fontId="3" fillId="0" borderId="18" xfId="0" applyFont="1" applyFill="1" applyBorder="1" applyAlignment="1">
      <alignment horizontal="justify" wrapText="1"/>
    </xf>
    <xf numFmtId="0" fontId="3" fillId="0" borderId="16" xfId="0" applyFont="1" applyFill="1" applyBorder="1" applyAlignment="1">
      <alignment horizontal="justify" wrapText="1"/>
    </xf>
    <xf numFmtId="0" fontId="3" fillId="0" borderId="1" xfId="0" applyFont="1" applyFill="1" applyBorder="1" applyAlignment="1">
      <alignment horizontal="justify" wrapText="1"/>
    </xf>
    <xf numFmtId="0" fontId="8" fillId="0" borderId="3" xfId="0" applyFont="1" applyFill="1" applyBorder="1" applyAlignment="1">
      <alignment horizontal="center" wrapText="1"/>
    </xf>
    <xf numFmtId="0" fontId="8" fillId="0" borderId="16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164" fontId="8" fillId="0" borderId="3" xfId="0" applyNumberFormat="1" applyFont="1" applyFill="1" applyBorder="1" applyAlignment="1">
      <alignment horizontal="right" wrapText="1"/>
    </xf>
    <xf numFmtId="0" fontId="8" fillId="0" borderId="16" xfId="0" applyFont="1" applyFill="1" applyBorder="1" applyAlignment="1">
      <alignment horizontal="right" wrapText="1"/>
    </xf>
    <xf numFmtId="0" fontId="8" fillId="0" borderId="1" xfId="0" applyFont="1" applyFill="1" applyBorder="1" applyAlignment="1">
      <alignment horizontal="right" wrapText="1"/>
    </xf>
    <xf numFmtId="0" fontId="9" fillId="0" borderId="13" xfId="0" applyFont="1" applyFill="1" applyBorder="1" applyAlignment="1">
      <alignment horizontal="justify" vertical="top" wrapText="1"/>
    </xf>
    <xf numFmtId="0" fontId="9" fillId="0" borderId="22" xfId="0" applyFont="1" applyFill="1" applyBorder="1" applyAlignment="1">
      <alignment horizontal="justify" vertical="top" wrapText="1"/>
    </xf>
    <xf numFmtId="0" fontId="9" fillId="0" borderId="19" xfId="0" applyFont="1" applyFill="1" applyBorder="1" applyAlignment="1">
      <alignment horizontal="justify" vertical="top" wrapText="1"/>
    </xf>
    <xf numFmtId="49" fontId="3" fillId="0" borderId="3" xfId="0" applyNumberFormat="1" applyFont="1" applyFill="1" applyBorder="1" applyAlignment="1"/>
    <xf numFmtId="49" fontId="3" fillId="0" borderId="16" xfId="0" applyNumberFormat="1" applyFont="1" applyFill="1" applyBorder="1" applyAlignment="1"/>
    <xf numFmtId="0" fontId="2" fillId="0" borderId="3" xfId="0" applyFont="1" applyFill="1" applyBorder="1" applyAlignment="1">
      <alignment wrapText="1"/>
    </xf>
    <xf numFmtId="0" fontId="2" fillId="0" borderId="16" xfId="0" applyFont="1" applyFill="1" applyBorder="1" applyAlignment="1">
      <alignment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justify" wrapText="1"/>
    </xf>
    <xf numFmtId="49" fontId="22" fillId="0" borderId="2" xfId="0" applyNumberFormat="1" applyFont="1" applyFill="1" applyBorder="1" applyAlignment="1"/>
    <xf numFmtId="0" fontId="3" fillId="0" borderId="3" xfId="0" applyFont="1" applyFill="1" applyBorder="1" applyAlignment="1"/>
    <xf numFmtId="0" fontId="3" fillId="0" borderId="1" xfId="0" applyFont="1" applyFill="1" applyBorder="1" applyAlignment="1"/>
    <xf numFmtId="0" fontId="2" fillId="0" borderId="3" xfId="0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justify" wrapText="1"/>
    </xf>
    <xf numFmtId="0" fontId="10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wrapText="1"/>
    </xf>
    <xf numFmtId="0" fontId="7" fillId="0" borderId="3" xfId="0" applyFont="1" applyFill="1" applyBorder="1" applyAlignment="1">
      <alignment wrapText="1"/>
    </xf>
    <xf numFmtId="0" fontId="9" fillId="0" borderId="3" xfId="0" applyFont="1" applyFill="1" applyBorder="1" applyAlignment="1">
      <alignment wrapText="1"/>
    </xf>
    <xf numFmtId="0" fontId="14" fillId="0" borderId="31" xfId="0" applyFont="1" applyFill="1" applyBorder="1" applyAlignment="1">
      <alignment wrapText="1"/>
    </xf>
    <xf numFmtId="0" fontId="22" fillId="0" borderId="0" xfId="0" applyFont="1" applyFill="1" applyBorder="1" applyAlignment="1">
      <alignment wrapText="1"/>
    </xf>
    <xf numFmtId="49" fontId="3" fillId="0" borderId="3" xfId="0" applyNumberFormat="1" applyFont="1" applyFill="1" applyBorder="1" applyAlignment="1">
      <alignment horizontal="justify" wrapText="1"/>
    </xf>
    <xf numFmtId="49" fontId="22" fillId="0" borderId="16" xfId="0" applyNumberFormat="1" applyFont="1" applyFill="1" applyBorder="1" applyAlignment="1"/>
    <xf numFmtId="0" fontId="2" fillId="0" borderId="2" xfId="0" applyFont="1" applyFill="1" applyBorder="1" applyAlignment="1">
      <alignment horizontal="justify" vertical="top" wrapText="1"/>
    </xf>
    <xf numFmtId="0" fontId="9" fillId="0" borderId="2" xfId="0" applyFont="1" applyFill="1" applyBorder="1" applyAlignment="1"/>
    <xf numFmtId="0" fontId="7" fillId="0" borderId="2" xfId="0" applyFont="1" applyFill="1" applyBorder="1" applyAlignment="1">
      <alignment horizontal="left" vertical="top" wrapText="1"/>
    </xf>
    <xf numFmtId="0" fontId="36" fillId="0" borderId="3" xfId="0" applyFont="1" applyFill="1" applyBorder="1" applyAlignment="1">
      <alignment horizontal="center" vertical="center" wrapText="1"/>
    </xf>
    <xf numFmtId="0" fontId="36" fillId="0" borderId="16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justify" wrapText="1"/>
    </xf>
    <xf numFmtId="0" fontId="9" fillId="0" borderId="16" xfId="0" applyFont="1" applyFill="1" applyBorder="1" applyAlignment="1">
      <alignment horizontal="justify" wrapText="1"/>
    </xf>
    <xf numFmtId="0" fontId="9" fillId="0" borderId="1" xfId="0" applyFont="1" applyFill="1" applyBorder="1" applyAlignment="1">
      <alignment horizontal="justify" wrapText="1"/>
    </xf>
    <xf numFmtId="49" fontId="3" fillId="0" borderId="19" xfId="0" applyNumberFormat="1" applyFont="1" applyFill="1" applyBorder="1" applyAlignment="1"/>
    <xf numFmtId="49" fontId="3" fillId="0" borderId="10" xfId="0" applyNumberFormat="1" applyFont="1" applyFill="1" applyBorder="1" applyAlignment="1"/>
    <xf numFmtId="49" fontId="3" fillId="0" borderId="13" xfId="0" applyNumberFormat="1" applyFont="1" applyFill="1" applyBorder="1" applyAlignment="1"/>
    <xf numFmtId="0" fontId="19" fillId="0" borderId="20" xfId="0" applyFont="1" applyFill="1" applyBorder="1" applyAlignment="1">
      <alignment wrapText="1"/>
    </xf>
    <xf numFmtId="0" fontId="9" fillId="0" borderId="21" xfId="0" applyFont="1" applyFill="1" applyBorder="1" applyAlignment="1">
      <alignment wrapText="1"/>
    </xf>
    <xf numFmtId="0" fontId="9" fillId="0" borderId="26" xfId="0" applyFont="1" applyFill="1" applyBorder="1" applyAlignment="1">
      <alignment wrapText="1"/>
    </xf>
    <xf numFmtId="0" fontId="19" fillId="0" borderId="25" xfId="0" applyFont="1" applyFill="1" applyBorder="1" applyAlignment="1">
      <alignment wrapText="1"/>
    </xf>
    <xf numFmtId="0" fontId="19" fillId="0" borderId="21" xfId="0" applyFont="1" applyFill="1" applyBorder="1" applyAlignment="1">
      <alignment wrapText="1"/>
    </xf>
    <xf numFmtId="49" fontId="3" fillId="0" borderId="2" xfId="0" applyNumberFormat="1" applyFont="1" applyFill="1" applyBorder="1" applyAlignment="1"/>
    <xf numFmtId="0" fontId="2" fillId="0" borderId="2" xfId="0" applyFont="1" applyFill="1" applyBorder="1" applyAlignment="1">
      <alignment horizontal="justify" wrapText="1"/>
    </xf>
    <xf numFmtId="0" fontId="9" fillId="0" borderId="2" xfId="0" applyFont="1" applyFill="1" applyBorder="1" applyAlignment="1">
      <alignment horizontal="justify" wrapText="1"/>
    </xf>
    <xf numFmtId="0" fontId="9" fillId="0" borderId="3" xfId="0" applyFont="1" applyFill="1" applyBorder="1" applyAlignment="1">
      <alignment horizontal="justify" wrapText="1"/>
    </xf>
    <xf numFmtId="0" fontId="14" fillId="0" borderId="37" xfId="0" applyFont="1" applyFill="1" applyBorder="1" applyAlignment="1">
      <alignment horizontal="justify" vertical="top" wrapText="1"/>
    </xf>
    <xf numFmtId="0" fontId="28" fillId="0" borderId="38" xfId="0" applyFont="1" applyFill="1" applyBorder="1" applyAlignment="1">
      <alignment horizontal="justify" vertical="top" wrapText="1"/>
    </xf>
    <xf numFmtId="0" fontId="2" fillId="0" borderId="22" xfId="0" applyFont="1" applyFill="1" applyBorder="1" applyAlignment="1" applyProtection="1">
      <alignment vertical="center" wrapText="1"/>
      <protection locked="0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2" fillId="0" borderId="27" xfId="0" applyFont="1" applyFill="1" applyBorder="1" applyAlignment="1" applyProtection="1">
      <alignment vertical="center" wrapText="1"/>
      <protection locked="0"/>
    </xf>
    <xf numFmtId="0" fontId="0" fillId="0" borderId="3" xfId="0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27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center"/>
    </xf>
    <xf numFmtId="0" fontId="3" fillId="0" borderId="29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justify" wrapText="1"/>
    </xf>
    <xf numFmtId="0" fontId="25" fillId="0" borderId="2" xfId="0" applyFont="1" applyFill="1" applyBorder="1" applyAlignment="1">
      <alignment vertical="top" wrapText="1"/>
    </xf>
    <xf numFmtId="0" fontId="27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9" fillId="0" borderId="2" xfId="0" applyFont="1" applyFill="1" applyBorder="1" applyAlignment="1">
      <alignment vertical="top" wrapText="1"/>
    </xf>
    <xf numFmtId="0" fontId="9" fillId="0" borderId="3" xfId="0" applyFont="1" applyFill="1" applyBorder="1" applyAlignment="1">
      <alignment vertical="top" wrapText="1"/>
    </xf>
    <xf numFmtId="0" fontId="3" fillId="0" borderId="10" xfId="0" applyFont="1" applyFill="1" applyBorder="1" applyAlignment="1"/>
    <xf numFmtId="49" fontId="3" fillId="0" borderId="1" xfId="0" applyNumberFormat="1" applyFont="1" applyFill="1" applyBorder="1" applyAlignment="1"/>
    <xf numFmtId="0" fontId="7" fillId="0" borderId="2" xfId="0" applyFont="1" applyFill="1" applyBorder="1" applyAlignment="1"/>
    <xf numFmtId="0" fontId="2" fillId="0" borderId="16" xfId="0" applyFont="1" applyFill="1" applyBorder="1" applyAlignment="1">
      <alignment horizontal="justify" wrapText="1"/>
    </xf>
    <xf numFmtId="0" fontId="3" fillId="0" borderId="0" xfId="0" applyFont="1" applyFill="1" applyBorder="1" applyAlignment="1">
      <alignment horizontal="justify" vertical="top" wrapText="1"/>
    </xf>
    <xf numFmtId="0" fontId="8" fillId="0" borderId="0" xfId="0" applyFont="1" applyFill="1" applyBorder="1" applyAlignment="1">
      <alignment horizontal="justify" vertical="top" wrapText="1"/>
    </xf>
    <xf numFmtId="0" fontId="14" fillId="0" borderId="10" xfId="0" applyFont="1" applyFill="1" applyBorder="1" applyAlignment="1">
      <alignment horizontal="justify" wrapText="1"/>
    </xf>
    <xf numFmtId="0" fontId="0" fillId="0" borderId="23" xfId="0" applyFill="1" applyBorder="1" applyAlignment="1">
      <alignment horizontal="justify" wrapText="1"/>
    </xf>
    <xf numFmtId="0" fontId="0" fillId="0" borderId="4" xfId="0" applyFill="1" applyBorder="1" applyAlignment="1">
      <alignment horizontal="justify" wrapText="1"/>
    </xf>
    <xf numFmtId="0" fontId="14" fillId="0" borderId="2" xfId="0" applyFont="1" applyFill="1" applyBorder="1" applyAlignment="1">
      <alignment vertical="top" wrapText="1"/>
    </xf>
    <xf numFmtId="0" fontId="22" fillId="0" borderId="2" xfId="0" applyFont="1" applyFill="1" applyBorder="1" applyAlignment="1">
      <alignment vertical="top" wrapText="1"/>
    </xf>
    <xf numFmtId="0" fontId="10" fillId="0" borderId="16" xfId="0" applyFont="1" applyFill="1" applyBorder="1" applyAlignment="1">
      <alignment horizontal="justify" wrapText="1"/>
    </xf>
    <xf numFmtId="0" fontId="0" fillId="0" borderId="16" xfId="0" applyFill="1" applyBorder="1" applyAlignment="1"/>
    <xf numFmtId="0" fontId="3" fillId="0" borderId="3" xfId="0" applyFont="1" applyFill="1" applyBorder="1" applyAlignment="1">
      <alignment horizontal="center" vertical="center" wrapText="1" shrinkToFit="1"/>
    </xf>
    <xf numFmtId="0" fontId="3" fillId="0" borderId="16" xfId="0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 wrapText="1" shrinkToFit="1"/>
    </xf>
    <xf numFmtId="0" fontId="7" fillId="0" borderId="33" xfId="0" applyFont="1" applyFill="1" applyBorder="1" applyAlignment="1">
      <alignment horizontal="justify" vertical="top" wrapText="1"/>
    </xf>
    <xf numFmtId="0" fontId="9" fillId="0" borderId="11" xfId="0" applyFont="1" applyFill="1" applyBorder="1" applyAlignment="1">
      <alignment horizontal="justify" vertical="top" wrapText="1"/>
    </xf>
    <xf numFmtId="0" fontId="14" fillId="0" borderId="33" xfId="0" applyFont="1" applyFill="1" applyBorder="1" applyAlignment="1">
      <alignment horizontal="left" wrapText="1"/>
    </xf>
    <xf numFmtId="0" fontId="14" fillId="0" borderId="11" xfId="0" applyFont="1" applyFill="1" applyBorder="1" applyAlignment="1">
      <alignment horizontal="left" wrapText="1"/>
    </xf>
    <xf numFmtId="0" fontId="7" fillId="0" borderId="33" xfId="0" applyFont="1" applyFill="1" applyBorder="1" applyAlignment="1">
      <alignment wrapText="1"/>
    </xf>
    <xf numFmtId="0" fontId="9" fillId="0" borderId="11" xfId="0" applyFont="1" applyFill="1" applyBorder="1" applyAlignment="1">
      <alignment wrapText="1"/>
    </xf>
    <xf numFmtId="0" fontId="9" fillId="0" borderId="12" xfId="0" applyFont="1" applyFill="1" applyBorder="1" applyAlignment="1">
      <alignment wrapText="1"/>
    </xf>
    <xf numFmtId="0" fontId="7" fillId="0" borderId="3" xfId="0" applyFont="1" applyFill="1" applyBorder="1" applyAlignment="1">
      <alignment horizontal="justify" vertical="top" wrapText="1"/>
    </xf>
    <xf numFmtId="0" fontId="9" fillId="0" borderId="3" xfId="0" applyFont="1" applyFill="1" applyBorder="1" applyAlignment="1">
      <alignment horizontal="justify" vertical="top" wrapText="1"/>
    </xf>
    <xf numFmtId="0" fontId="9" fillId="0" borderId="16" xfId="0" applyFont="1" applyFill="1" applyBorder="1" applyAlignment="1">
      <alignment horizontal="justify" vertical="top" wrapText="1"/>
    </xf>
    <xf numFmtId="0" fontId="7" fillId="0" borderId="34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9" fillId="0" borderId="28" xfId="0" applyFont="1" applyFill="1" applyBorder="1" applyAlignment="1">
      <alignment wrapText="1"/>
    </xf>
    <xf numFmtId="0" fontId="9" fillId="0" borderId="29" xfId="0" applyFont="1" applyFill="1" applyBorder="1" applyAlignment="1">
      <alignment wrapText="1"/>
    </xf>
    <xf numFmtId="0" fontId="3" fillId="0" borderId="10" xfId="0" applyFont="1" applyFill="1" applyBorder="1" applyAlignment="1">
      <alignment horizontal="justify" wrapText="1"/>
    </xf>
    <xf numFmtId="0" fontId="1" fillId="0" borderId="10" xfId="0" applyFont="1" applyFill="1" applyBorder="1" applyAlignment="1"/>
    <xf numFmtId="49" fontId="10" fillId="0" borderId="3" xfId="0" applyNumberFormat="1" applyFont="1" applyFill="1" applyBorder="1" applyAlignment="1">
      <alignment horizontal="justify" wrapText="1"/>
    </xf>
    <xf numFmtId="49" fontId="0" fillId="0" borderId="16" xfId="0" applyNumberFormat="1" applyFill="1" applyBorder="1" applyAlignment="1"/>
    <xf numFmtId="49" fontId="0" fillId="0" borderId="1" xfId="0" applyNumberFormat="1" applyFill="1" applyBorder="1" applyAlignment="1"/>
    <xf numFmtId="0" fontId="0" fillId="0" borderId="2" xfId="0" applyFill="1" applyBorder="1" applyAlignment="1">
      <alignment horizontal="justify" vertical="top" wrapText="1"/>
    </xf>
    <xf numFmtId="0" fontId="0" fillId="0" borderId="17" xfId="0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justify" vertical="top" wrapText="1"/>
    </xf>
    <xf numFmtId="0" fontId="2" fillId="0" borderId="2" xfId="0" applyFont="1" applyFill="1" applyBorder="1" applyAlignment="1">
      <alignment vertical="top" wrapText="1"/>
    </xf>
    <xf numFmtId="0" fontId="3" fillId="0" borderId="18" xfId="0" applyFont="1" applyFill="1" applyBorder="1" applyAlignment="1">
      <alignment horizontal="center" vertical="center" wrapText="1"/>
    </xf>
    <xf numFmtId="49" fontId="10" fillId="0" borderId="10" xfId="0" applyNumberFormat="1" applyFont="1" applyFill="1" applyBorder="1" applyAlignment="1">
      <alignment horizontal="justify" wrapText="1"/>
    </xf>
    <xf numFmtId="49" fontId="0" fillId="0" borderId="10" xfId="0" applyNumberFormat="1" applyFill="1" applyBorder="1" applyAlignment="1"/>
    <xf numFmtId="0" fontId="7" fillId="0" borderId="2" xfId="0" applyFont="1" applyFill="1" applyBorder="1" applyAlignment="1">
      <alignment horizontal="justify" vertical="top" wrapText="1"/>
    </xf>
    <xf numFmtId="0" fontId="2" fillId="0" borderId="32" xfId="0" applyFont="1" applyFill="1" applyBorder="1" applyAlignment="1">
      <alignment wrapText="1"/>
    </xf>
    <xf numFmtId="0" fontId="9" fillId="0" borderId="31" xfId="0" applyFont="1" applyFill="1" applyBorder="1" applyAlignment="1">
      <alignment wrapText="1"/>
    </xf>
    <xf numFmtId="0" fontId="9" fillId="0" borderId="24" xfId="0" applyFont="1" applyFill="1" applyBorder="1" applyAlignment="1">
      <alignment wrapText="1"/>
    </xf>
    <xf numFmtId="0" fontId="7" fillId="0" borderId="37" xfId="0" applyFont="1" applyFill="1" applyBorder="1" applyAlignment="1">
      <alignment wrapText="1"/>
    </xf>
    <xf numFmtId="0" fontId="9" fillId="0" borderId="38" xfId="0" applyFont="1" applyFill="1" applyBorder="1" applyAlignment="1">
      <alignment wrapText="1"/>
    </xf>
    <xf numFmtId="0" fontId="9" fillId="0" borderId="39" xfId="0" applyFont="1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12" xfId="0" applyFill="1" applyBorder="1" applyAlignment="1">
      <alignment wrapText="1"/>
    </xf>
    <xf numFmtId="49" fontId="0" fillId="0" borderId="13" xfId="0" applyNumberFormat="1" applyFill="1" applyBorder="1" applyAlignment="1"/>
    <xf numFmtId="0" fontId="3" fillId="0" borderId="2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49" fontId="10" fillId="0" borderId="19" xfId="0" applyNumberFormat="1" applyFont="1" applyFill="1" applyBorder="1" applyAlignment="1">
      <alignment horizontal="justify" wrapText="1"/>
    </xf>
    <xf numFmtId="49" fontId="10" fillId="0" borderId="2" xfId="0" applyNumberFormat="1" applyFont="1" applyFill="1" applyBorder="1" applyAlignment="1">
      <alignment horizontal="justify" wrapText="1"/>
    </xf>
    <xf numFmtId="49" fontId="0" fillId="0" borderId="2" xfId="0" applyNumberFormat="1" applyFill="1" applyBorder="1" applyAlignment="1"/>
    <xf numFmtId="0" fontId="0" fillId="0" borderId="3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7" fillId="0" borderId="10" xfId="0" applyFont="1" applyFill="1" applyBorder="1" applyAlignment="1">
      <alignment horizontal="left" wrapText="1"/>
    </xf>
    <xf numFmtId="0" fontId="9" fillId="0" borderId="23" xfId="0" applyFont="1" applyFill="1" applyBorder="1" applyAlignment="1">
      <alignment horizontal="left" wrapText="1"/>
    </xf>
    <xf numFmtId="0" fontId="9" fillId="0" borderId="4" xfId="0" applyFont="1" applyFill="1" applyBorder="1" applyAlignment="1">
      <alignment horizontal="left" wrapText="1"/>
    </xf>
    <xf numFmtId="0" fontId="1" fillId="0" borderId="40" xfId="0" applyFont="1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2" fillId="0" borderId="25" xfId="0" applyFont="1" applyFill="1" applyBorder="1" applyAlignment="1">
      <alignment wrapText="1"/>
    </xf>
    <xf numFmtId="0" fontId="2" fillId="0" borderId="21" xfId="0" applyFont="1" applyFill="1" applyBorder="1" applyAlignment="1">
      <alignment wrapText="1"/>
    </xf>
    <xf numFmtId="0" fontId="2" fillId="0" borderId="26" xfId="0" applyFont="1" applyFill="1" applyBorder="1" applyAlignment="1">
      <alignment wrapText="1"/>
    </xf>
    <xf numFmtId="0" fontId="14" fillId="0" borderId="3" xfId="0" applyFont="1" applyFill="1" applyBorder="1" applyAlignment="1">
      <alignment vertical="top" wrapText="1"/>
    </xf>
    <xf numFmtId="0" fontId="22" fillId="0" borderId="3" xfId="0" applyFont="1" applyFill="1" applyBorder="1" applyAlignment="1">
      <alignment vertical="top" wrapText="1"/>
    </xf>
    <xf numFmtId="49" fontId="0" fillId="0" borderId="3" xfId="0" applyNumberFormat="1" applyFill="1" applyBorder="1" applyAlignment="1"/>
    <xf numFmtId="0" fontId="2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justify" wrapText="1"/>
    </xf>
    <xf numFmtId="0" fontId="0" fillId="0" borderId="2" xfId="0" applyFill="1" applyBorder="1" applyAlignment="1">
      <alignment horizontal="justify" wrapText="1"/>
    </xf>
    <xf numFmtId="0" fontId="7" fillId="0" borderId="10" xfId="0" applyFont="1" applyFill="1" applyBorder="1" applyAlignment="1">
      <alignment horizontal="justify" wrapText="1"/>
    </xf>
    <xf numFmtId="0" fontId="3" fillId="0" borderId="2" xfId="0" applyFont="1" applyFill="1" applyBorder="1" applyAlignment="1"/>
    <xf numFmtId="0" fontId="7" fillId="0" borderId="1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horizontal="justify" vertical="top" wrapText="1"/>
    </xf>
    <xf numFmtId="0" fontId="7" fillId="0" borderId="10" xfId="0" applyFont="1" applyFill="1" applyBorder="1" applyAlignment="1">
      <alignment horizontal="justify" vertical="top" wrapText="1"/>
    </xf>
    <xf numFmtId="0" fontId="0" fillId="0" borderId="23" xfId="0" applyFill="1" applyBorder="1" applyAlignment="1">
      <alignment horizontal="justify" vertical="top" wrapText="1"/>
    </xf>
    <xf numFmtId="0" fontId="0" fillId="0" borderId="4" xfId="0" applyFill="1" applyBorder="1" applyAlignment="1">
      <alignment horizontal="justify" vertical="top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24" fillId="0" borderId="15" xfId="0" applyFont="1" applyFill="1" applyBorder="1" applyAlignment="1">
      <alignment horizontal="center" vertical="center" wrapText="1"/>
    </xf>
    <xf numFmtId="0" fontId="24" fillId="0" borderId="22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4" fillId="0" borderId="27" xfId="0" applyFont="1" applyFill="1" applyBorder="1" applyAlignment="1">
      <alignment horizontal="center" vertical="center" wrapText="1"/>
    </xf>
    <xf numFmtId="0" fontId="24" fillId="0" borderId="19" xfId="0" applyFont="1" applyFill="1" applyBorder="1" applyAlignment="1">
      <alignment horizontal="center" vertical="center" wrapText="1"/>
    </xf>
    <xf numFmtId="0" fontId="24" fillId="0" borderId="28" xfId="0" applyFont="1" applyFill="1" applyBorder="1" applyAlignment="1">
      <alignment horizontal="center" vertical="center" wrapText="1"/>
    </xf>
    <xf numFmtId="0" fontId="24" fillId="0" borderId="29" xfId="0" applyFont="1" applyFill="1" applyBorder="1" applyAlignment="1">
      <alignment horizontal="center" vertical="center" wrapText="1"/>
    </xf>
    <xf numFmtId="0" fontId="36" fillId="0" borderId="3" xfId="0" applyFont="1" applyFill="1" applyBorder="1" applyAlignment="1">
      <alignment horizontal="center" vertical="top" wrapText="1"/>
    </xf>
    <xf numFmtId="0" fontId="32" fillId="0" borderId="16" xfId="0" applyFont="1" applyFill="1" applyBorder="1" applyAlignment="1">
      <alignment horizontal="center" vertical="top" wrapText="1"/>
    </xf>
    <xf numFmtId="0" fontId="32" fillId="0" borderId="1" xfId="0" applyFont="1" applyFill="1" applyBorder="1" applyAlignment="1">
      <alignment horizontal="center" vertical="top" wrapText="1"/>
    </xf>
    <xf numFmtId="0" fontId="25" fillId="0" borderId="10" xfId="0" applyFont="1" applyFill="1" applyBorder="1" applyAlignment="1">
      <alignment horizontal="left" vertical="top" wrapText="1"/>
    </xf>
    <xf numFmtId="0" fontId="25" fillId="0" borderId="23" xfId="0" applyFont="1" applyFill="1" applyBorder="1" applyAlignment="1">
      <alignment horizontal="left" vertical="top" wrapText="1"/>
    </xf>
    <xf numFmtId="0" fontId="25" fillId="0" borderId="4" xfId="0" applyFont="1" applyFill="1" applyBorder="1" applyAlignment="1">
      <alignment horizontal="left" vertical="top" wrapText="1"/>
    </xf>
    <xf numFmtId="0" fontId="31" fillId="0" borderId="16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7" fillId="0" borderId="37" xfId="0" applyFont="1" applyFill="1" applyBorder="1" applyAlignment="1">
      <alignment horizontal="justify" vertical="top" wrapText="1"/>
    </xf>
    <xf numFmtId="0" fontId="9" fillId="0" borderId="38" xfId="0" applyFont="1" applyFill="1" applyBorder="1" applyAlignment="1">
      <alignment horizontal="justify" vertical="top" wrapText="1"/>
    </xf>
    <xf numFmtId="49" fontId="3" fillId="0" borderId="2" xfId="0" applyNumberFormat="1" applyFont="1" applyFill="1" applyBorder="1" applyAlignment="1">
      <alignment horizontal="justify" vertical="top" wrapText="1"/>
    </xf>
    <xf numFmtId="49" fontId="1" fillId="0" borderId="2" xfId="0" applyNumberFormat="1" applyFont="1" applyFill="1" applyBorder="1" applyAlignment="1"/>
    <xf numFmtId="49" fontId="1" fillId="0" borderId="3" xfId="0" applyNumberFormat="1" applyFont="1" applyFill="1" applyBorder="1" applyAlignment="1"/>
    <xf numFmtId="0" fontId="19" fillId="0" borderId="2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wrapText="1"/>
    </xf>
    <xf numFmtId="0" fontId="19" fillId="0" borderId="3" xfId="0" applyFont="1" applyFill="1" applyBorder="1" applyAlignment="1">
      <alignment horizontal="left" wrapText="1"/>
    </xf>
    <xf numFmtId="0" fontId="19" fillId="0" borderId="16" xfId="0" applyFont="1" applyFill="1" applyBorder="1" applyAlignment="1">
      <alignment horizontal="left" wrapText="1"/>
    </xf>
    <xf numFmtId="0" fontId="19" fillId="0" borderId="1" xfId="0" applyFont="1" applyFill="1" applyBorder="1" applyAlignment="1">
      <alignment horizontal="left" wrapText="1"/>
    </xf>
    <xf numFmtId="49" fontId="3" fillId="0" borderId="3" xfId="0" applyNumberFormat="1" applyFont="1" applyFill="1" applyBorder="1" applyAlignment="1">
      <alignment horizontal="center" wrapText="1"/>
    </xf>
    <xf numFmtId="49" fontId="3" fillId="0" borderId="16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0" fontId="9" fillId="0" borderId="23" xfId="0" applyFont="1" applyFill="1" applyBorder="1" applyAlignment="1">
      <alignment horizontal="justify" wrapText="1"/>
    </xf>
    <xf numFmtId="0" fontId="9" fillId="0" borderId="4" xfId="0" applyFont="1" applyFill="1" applyBorder="1" applyAlignment="1">
      <alignment horizontal="justify" wrapText="1"/>
    </xf>
    <xf numFmtId="0" fontId="19" fillId="0" borderId="2" xfId="0" applyFont="1" applyFill="1" applyBorder="1" applyAlignment="1">
      <alignment horizontal="justify" wrapText="1"/>
    </xf>
    <xf numFmtId="0" fontId="10" fillId="0" borderId="19" xfId="0" applyFont="1" applyFill="1" applyBorder="1" applyAlignment="1">
      <alignment horizontal="justify" wrapText="1"/>
    </xf>
    <xf numFmtId="0" fontId="0" fillId="0" borderId="13" xfId="0" applyFill="1" applyBorder="1" applyAlignment="1"/>
    <xf numFmtId="0" fontId="3" fillId="0" borderId="15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justify" wrapText="1"/>
    </xf>
    <xf numFmtId="0" fontId="0" fillId="0" borderId="1" xfId="0" applyFill="1" applyBorder="1" applyAlignment="1">
      <alignment horizontal="justify" wrapText="1"/>
    </xf>
    <xf numFmtId="49" fontId="3" fillId="0" borderId="3" xfId="0" applyNumberFormat="1" applyFont="1" applyFill="1" applyBorder="1" applyAlignment="1">
      <alignment horizontal="left"/>
    </xf>
    <xf numFmtId="49" fontId="3" fillId="0" borderId="16" xfId="0" applyNumberFormat="1" applyFont="1" applyFill="1" applyBorder="1" applyAlignment="1">
      <alignment horizontal="left"/>
    </xf>
    <xf numFmtId="49" fontId="3" fillId="0" borderId="1" xfId="0" applyNumberFormat="1" applyFont="1" applyFill="1" applyBorder="1" applyAlignment="1">
      <alignment horizontal="left"/>
    </xf>
    <xf numFmtId="0" fontId="7" fillId="0" borderId="30" xfId="0" applyFont="1" applyFill="1" applyBorder="1" applyAlignment="1">
      <alignment horizontal="left" wrapText="1"/>
    </xf>
    <xf numFmtId="0" fontId="0" fillId="0" borderId="2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justify" vertical="top" wrapText="1"/>
    </xf>
    <xf numFmtId="0" fontId="23" fillId="0" borderId="2" xfId="0" applyFont="1" applyFill="1" applyBorder="1" applyAlignment="1">
      <alignment wrapText="1"/>
    </xf>
    <xf numFmtId="0" fontId="23" fillId="0" borderId="3" xfId="0" applyFont="1" applyFill="1" applyBorder="1" applyAlignment="1">
      <alignment wrapText="1"/>
    </xf>
    <xf numFmtId="0" fontId="3" fillId="0" borderId="10" xfId="0" applyFont="1" applyFill="1" applyBorder="1" applyAlignment="1">
      <alignment horizontal="justify" vertical="top" wrapText="1"/>
    </xf>
    <xf numFmtId="0" fontId="1" fillId="0" borderId="23" xfId="0" applyFont="1" applyFill="1" applyBorder="1" applyAlignment="1">
      <alignment horizontal="justify" vertical="top" wrapText="1"/>
    </xf>
    <xf numFmtId="0" fontId="1" fillId="0" borderId="4" xfId="0" applyFont="1" applyFill="1" applyBorder="1" applyAlignment="1">
      <alignment horizontal="justify" vertical="top" wrapText="1"/>
    </xf>
    <xf numFmtId="0" fontId="0" fillId="0" borderId="3" xfId="0" applyFill="1" applyBorder="1" applyAlignment="1">
      <alignment horizontal="justify" vertical="top" wrapText="1"/>
    </xf>
    <xf numFmtId="0" fontId="0" fillId="0" borderId="11" xfId="0" applyFill="1" applyBorder="1" applyAlignment="1">
      <alignment horizontal="justify" vertical="top" wrapText="1"/>
    </xf>
    <xf numFmtId="0" fontId="0" fillId="0" borderId="12" xfId="0" applyFill="1" applyBorder="1" applyAlignment="1">
      <alignment horizontal="justify" vertical="top" wrapText="1"/>
    </xf>
    <xf numFmtId="0" fontId="2" fillId="0" borderId="35" xfId="0" applyFont="1" applyFill="1" applyBorder="1" applyAlignment="1">
      <alignment horizontal="justify" wrapText="1"/>
    </xf>
    <xf numFmtId="0" fontId="9" fillId="0" borderId="36" xfId="0" applyFont="1" applyFill="1" applyBorder="1" applyAlignment="1">
      <alignment horizontal="justify" wrapText="1"/>
    </xf>
    <xf numFmtId="0" fontId="10" fillId="0" borderId="8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7" fillId="0" borderId="16" xfId="0" applyFont="1" applyFill="1" applyBorder="1" applyAlignment="1"/>
    <xf numFmtId="0" fontId="7" fillId="0" borderId="3" xfId="0" applyFont="1" applyFill="1" applyBorder="1" applyAlignment="1"/>
    <xf numFmtId="0" fontId="13" fillId="0" borderId="2" xfId="0" applyFont="1" applyFill="1" applyBorder="1" applyAlignment="1">
      <alignment wrapText="1"/>
    </xf>
    <xf numFmtId="0" fontId="7" fillId="0" borderId="13" xfId="0" applyFont="1" applyFill="1" applyBorder="1" applyAlignment="1">
      <alignment wrapText="1"/>
    </xf>
    <xf numFmtId="0" fontId="7" fillId="0" borderId="14" xfId="0" applyFont="1" applyFill="1" applyBorder="1" applyAlignment="1">
      <alignment wrapText="1"/>
    </xf>
    <xf numFmtId="0" fontId="2" fillId="0" borderId="14" xfId="0" applyFont="1" applyFill="1" applyBorder="1" applyAlignment="1"/>
    <xf numFmtId="0" fontId="2" fillId="0" borderId="15" xfId="0" applyFont="1" applyFill="1" applyBorder="1" applyAlignment="1"/>
    <xf numFmtId="0" fontId="14" fillId="0" borderId="13" xfId="0" applyFont="1" applyFill="1" applyBorder="1" applyAlignment="1">
      <alignment wrapText="1"/>
    </xf>
    <xf numFmtId="0" fontId="14" fillId="0" borderId="14" xfId="0" applyFont="1" applyFill="1" applyBorder="1" applyAlignment="1">
      <alignment wrapText="1"/>
    </xf>
    <xf numFmtId="0" fontId="2" fillId="0" borderId="3" xfId="0" applyFont="1" applyFill="1" applyBorder="1" applyAlignment="1">
      <alignment horizontal="left" wrapText="1"/>
    </xf>
    <xf numFmtId="0" fontId="9" fillId="0" borderId="16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center" wrapText="1"/>
    </xf>
    <xf numFmtId="0" fontId="9" fillId="0" borderId="16" xfId="0" applyFont="1" applyFill="1" applyBorder="1" applyAlignment="1">
      <alignment wrapText="1"/>
    </xf>
    <xf numFmtId="0" fontId="3" fillId="0" borderId="13" xfId="0" applyFont="1" applyFill="1" applyBorder="1" applyAlignment="1"/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16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3" fillId="0" borderId="0" xfId="0" applyFont="1" applyFill="1" applyAlignment="1">
      <alignment horizontal="justify"/>
    </xf>
    <xf numFmtId="0" fontId="22" fillId="0" borderId="0" xfId="0" applyFont="1" applyFill="1"/>
    <xf numFmtId="0" fontId="2" fillId="0" borderId="2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0" fontId="14" fillId="0" borderId="0" xfId="0" applyFont="1" applyFill="1" applyAlignment="1">
      <alignment horizontal="center"/>
    </xf>
    <xf numFmtId="0" fontId="3" fillId="0" borderId="16" xfId="0" applyFont="1" applyFill="1" applyBorder="1" applyAlignment="1"/>
    <xf numFmtId="0" fontId="0" fillId="0" borderId="2" xfId="0" applyFill="1" applyBorder="1" applyAlignment="1"/>
    <xf numFmtId="49" fontId="8" fillId="0" borderId="2" xfId="0" applyNumberFormat="1" applyFont="1" applyFill="1" applyBorder="1" applyAlignment="1"/>
    <xf numFmtId="0" fontId="22" fillId="0" borderId="2" xfId="0" applyFont="1" applyFill="1" applyBorder="1" applyAlignment="1">
      <alignment horizontal="justify" vertical="top" wrapText="1"/>
    </xf>
    <xf numFmtId="0" fontId="7" fillId="0" borderId="31" xfId="0" applyFont="1" applyFill="1" applyBorder="1" applyAlignment="1">
      <alignment horizontal="justify" vertical="top" wrapText="1"/>
    </xf>
    <xf numFmtId="0" fontId="9" fillId="0" borderId="0" xfId="0" applyFont="1" applyFill="1" applyBorder="1" applyAlignment="1">
      <alignment horizontal="justify" vertical="top" wrapText="1"/>
    </xf>
    <xf numFmtId="0" fontId="14" fillId="0" borderId="3" xfId="0" applyFont="1" applyFill="1" applyBorder="1" applyAlignment="1"/>
    <xf numFmtId="0" fontId="17" fillId="0" borderId="2" xfId="0" applyFont="1" applyFill="1" applyBorder="1" applyAlignment="1">
      <alignment horizontal="justify" vertical="top" wrapText="1"/>
    </xf>
    <xf numFmtId="0" fontId="36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wrapText="1"/>
    </xf>
    <xf numFmtId="0" fontId="17" fillId="0" borderId="10" xfId="0" applyFont="1" applyFill="1" applyBorder="1" applyAlignment="1">
      <alignment wrapText="1"/>
    </xf>
    <xf numFmtId="0" fontId="9" fillId="0" borderId="23" xfId="0" applyFont="1" applyFill="1" applyBorder="1" applyAlignment="1">
      <alignment wrapText="1"/>
    </xf>
    <xf numFmtId="0" fontId="9" fillId="0" borderId="4" xfId="0" applyFont="1" applyFill="1" applyBorder="1" applyAlignment="1">
      <alignment wrapText="1"/>
    </xf>
    <xf numFmtId="0" fontId="10" fillId="0" borderId="3" xfId="0" applyFont="1" applyFill="1" applyBorder="1" applyAlignment="1">
      <alignment horizontal="justify" wrapText="1"/>
    </xf>
    <xf numFmtId="0" fontId="36" fillId="0" borderId="16" xfId="0" applyFont="1" applyFill="1" applyBorder="1" applyAlignment="1">
      <alignment horizontal="center" vertical="top" wrapText="1"/>
    </xf>
    <xf numFmtId="0" fontId="36" fillId="0" borderId="1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justify" vertical="top" wrapText="1"/>
    </xf>
    <xf numFmtId="0" fontId="9" fillId="0" borderId="5" xfId="0" applyFont="1" applyFill="1" applyBorder="1" applyAlignment="1">
      <alignment horizontal="justify" vertical="top" wrapText="1"/>
    </xf>
    <xf numFmtId="0" fontId="22" fillId="0" borderId="16" xfId="0" applyFont="1" applyFill="1" applyBorder="1" applyAlignment="1"/>
    <xf numFmtId="0" fontId="22" fillId="0" borderId="17" xfId="0" applyFont="1" applyFill="1" applyBorder="1" applyAlignment="1"/>
    <xf numFmtId="0" fontId="3" fillId="0" borderId="1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FF"/>
      <color rgb="FFFFFF99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755"/>
  <sheetViews>
    <sheetView tabSelected="1" view="pageBreakPreview" zoomScaleNormal="100" zoomScaleSheetLayoutView="100" workbookViewId="0">
      <selection activeCell="H232" sqref="H232"/>
    </sheetView>
  </sheetViews>
  <sheetFormatPr defaultRowHeight="12.75" x14ac:dyDescent="0.2"/>
  <cols>
    <col min="1" max="1" width="6.28515625" style="4" customWidth="1"/>
    <col min="2" max="2" width="28" style="4" customWidth="1"/>
    <col min="3" max="3" width="11.140625" style="4" customWidth="1"/>
    <col min="4" max="4" width="15" style="4" customWidth="1"/>
    <col min="5" max="5" width="9.85546875" style="4" customWidth="1"/>
    <col min="6" max="6" width="11.7109375" style="4" customWidth="1"/>
    <col min="7" max="7" width="11.140625" style="4" customWidth="1"/>
    <col min="8" max="8" width="11.5703125" style="4" customWidth="1"/>
    <col min="9" max="9" width="13" style="4" customWidth="1"/>
    <col min="10" max="10" width="14.42578125" style="4" customWidth="1"/>
    <col min="11" max="11" width="29.7109375" style="4" customWidth="1"/>
    <col min="12" max="12" width="12" style="4" customWidth="1"/>
    <col min="13" max="13" width="9.140625" style="4"/>
    <col min="14" max="14" width="11.42578125" style="4" customWidth="1"/>
    <col min="15" max="15" width="12.5703125" style="4" customWidth="1"/>
    <col min="16" max="16" width="10.140625" style="4" bestFit="1" customWidth="1"/>
    <col min="17" max="17" width="10.5703125" style="4" customWidth="1"/>
    <col min="18" max="18" width="10" style="4" bestFit="1" customWidth="1"/>
    <col min="19" max="16384" width="9.140625" style="4"/>
  </cols>
  <sheetData>
    <row r="1" spans="1:26" ht="19.5" customHeight="1" x14ac:dyDescent="0.2">
      <c r="H1" s="460" t="s">
        <v>240</v>
      </c>
      <c r="I1" s="460"/>
      <c r="J1" s="460"/>
      <c r="K1" s="460"/>
    </row>
    <row r="2" spans="1:26" ht="24" customHeight="1" x14ac:dyDescent="0.2">
      <c r="H2" s="461" t="s">
        <v>241</v>
      </c>
      <c r="I2" s="462"/>
      <c r="J2" s="462"/>
      <c r="K2" s="462"/>
    </row>
    <row r="3" spans="1:26" ht="15.75" customHeight="1" x14ac:dyDescent="0.2">
      <c r="C3" s="188"/>
      <c r="F3" s="188"/>
      <c r="G3" s="188"/>
      <c r="H3" s="188"/>
    </row>
    <row r="4" spans="1:26" ht="15.75" x14ac:dyDescent="0.25">
      <c r="C4" s="29"/>
    </row>
    <row r="5" spans="1:26" ht="12.75" customHeight="1" x14ac:dyDescent="0.25">
      <c r="A5" s="467" t="s">
        <v>116</v>
      </c>
      <c r="B5" s="467"/>
      <c r="C5" s="467"/>
      <c r="D5" s="467"/>
      <c r="E5" s="467"/>
      <c r="F5" s="467"/>
      <c r="G5" s="467"/>
      <c r="H5" s="467"/>
      <c r="I5" s="467"/>
      <c r="J5" s="467"/>
      <c r="K5" s="467"/>
    </row>
    <row r="6" spans="1:26" ht="12.75" customHeight="1" x14ac:dyDescent="0.25">
      <c r="A6" s="467" t="s">
        <v>117</v>
      </c>
      <c r="B6" s="467"/>
      <c r="C6" s="467"/>
      <c r="D6" s="467"/>
      <c r="E6" s="467"/>
      <c r="F6" s="467"/>
      <c r="G6" s="467"/>
      <c r="H6" s="467"/>
      <c r="I6" s="467"/>
      <c r="J6" s="467"/>
      <c r="K6" s="467"/>
    </row>
    <row r="7" spans="1:26" ht="12.75" customHeight="1" x14ac:dyDescent="0.25">
      <c r="A7" s="467" t="s">
        <v>118</v>
      </c>
      <c r="B7" s="467"/>
      <c r="C7" s="467"/>
      <c r="D7" s="467"/>
      <c r="E7" s="467"/>
      <c r="F7" s="467"/>
      <c r="G7" s="467"/>
      <c r="H7" s="467"/>
      <c r="I7" s="467"/>
      <c r="J7" s="467"/>
      <c r="K7" s="467"/>
    </row>
    <row r="10" spans="1:26" ht="18" customHeight="1" x14ac:dyDescent="0.25">
      <c r="A10" s="463" t="s">
        <v>2</v>
      </c>
      <c r="B10" s="463" t="s">
        <v>3</v>
      </c>
      <c r="C10" s="463" t="s">
        <v>4</v>
      </c>
      <c r="D10" s="463" t="s">
        <v>5</v>
      </c>
      <c r="E10" s="463" t="s">
        <v>6</v>
      </c>
      <c r="F10" s="463" t="s">
        <v>7</v>
      </c>
      <c r="G10" s="463"/>
      <c r="H10" s="463"/>
      <c r="I10" s="463"/>
      <c r="J10" s="463"/>
      <c r="K10" s="463" t="s">
        <v>8</v>
      </c>
    </row>
    <row r="11" spans="1:26" ht="45" x14ac:dyDescent="0.25">
      <c r="A11" s="463"/>
      <c r="B11" s="463"/>
      <c r="C11" s="463"/>
      <c r="D11" s="463"/>
      <c r="E11" s="463"/>
      <c r="F11" s="189" t="s">
        <v>9</v>
      </c>
      <c r="G11" s="189" t="s">
        <v>10</v>
      </c>
      <c r="H11" s="189" t="s">
        <v>11</v>
      </c>
      <c r="I11" s="189" t="s">
        <v>12</v>
      </c>
      <c r="J11" s="189" t="s">
        <v>13</v>
      </c>
      <c r="K11" s="463"/>
    </row>
    <row r="12" spans="1:26" x14ac:dyDescent="0.2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  <c r="I12" s="5">
        <v>9</v>
      </c>
      <c r="J12" s="5">
        <v>10</v>
      </c>
      <c r="K12" s="5">
        <v>11</v>
      </c>
    </row>
    <row r="13" spans="1:26" ht="23.25" customHeight="1" x14ac:dyDescent="0.35">
      <c r="A13" s="465" t="s">
        <v>14</v>
      </c>
      <c r="B13" s="466"/>
      <c r="C13" s="466"/>
      <c r="D13" s="466"/>
      <c r="E13" s="466"/>
      <c r="F13" s="466"/>
      <c r="G13" s="466"/>
      <c r="H13" s="466"/>
      <c r="I13" s="466"/>
      <c r="J13" s="466"/>
      <c r="K13" s="466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</row>
    <row r="14" spans="1:26" ht="15.75" x14ac:dyDescent="0.25">
      <c r="A14" s="464" t="s">
        <v>15</v>
      </c>
      <c r="B14" s="464"/>
      <c r="C14" s="464"/>
      <c r="D14" s="464"/>
      <c r="E14" s="464"/>
      <c r="F14" s="464"/>
      <c r="G14" s="464"/>
      <c r="H14" s="464"/>
      <c r="I14" s="464"/>
      <c r="J14" s="464"/>
      <c r="K14" s="464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</row>
    <row r="15" spans="1:26" ht="32.25" customHeight="1" x14ac:dyDescent="0.2">
      <c r="A15" s="328" t="s">
        <v>232</v>
      </c>
      <c r="B15" s="310"/>
      <c r="C15" s="310"/>
      <c r="D15" s="323"/>
      <c r="E15" s="323"/>
      <c r="F15" s="323"/>
      <c r="G15" s="323"/>
      <c r="H15" s="323"/>
      <c r="I15" s="323"/>
      <c r="J15" s="323"/>
      <c r="K15" s="323"/>
      <c r="L15" s="196"/>
      <c r="M15" s="196"/>
      <c r="N15" s="196"/>
      <c r="O15" s="196"/>
      <c r="P15" s="196"/>
      <c r="Q15" s="196"/>
      <c r="R15" s="196"/>
      <c r="S15" s="196"/>
      <c r="T15" s="196"/>
      <c r="U15" s="196"/>
      <c r="V15" s="196"/>
      <c r="W15" s="196"/>
      <c r="X15" s="196"/>
      <c r="Y15" s="196"/>
      <c r="Z15" s="196"/>
    </row>
    <row r="16" spans="1:26" ht="15" x14ac:dyDescent="0.25">
      <c r="A16" s="286" t="s">
        <v>16</v>
      </c>
      <c r="B16" s="261" t="s">
        <v>17</v>
      </c>
      <c r="C16" s="202">
        <v>2015</v>
      </c>
      <c r="D16" s="405" t="s">
        <v>412</v>
      </c>
      <c r="E16" s="191">
        <v>2015</v>
      </c>
      <c r="F16" s="7">
        <f>SUM(G16:J16)</f>
        <v>123364</v>
      </c>
      <c r="G16" s="7"/>
      <c r="H16" s="7">
        <f>84472.3+21385+13129.2</f>
        <v>118986.5</v>
      </c>
      <c r="I16" s="7">
        <f>4727.6-3108.6+2758.5</f>
        <v>4377.5</v>
      </c>
      <c r="J16" s="7"/>
      <c r="K16" s="197" t="s">
        <v>114</v>
      </c>
    </row>
    <row r="17" spans="1:26" ht="15" x14ac:dyDescent="0.25">
      <c r="A17" s="286"/>
      <c r="B17" s="262"/>
      <c r="C17" s="203"/>
      <c r="D17" s="406"/>
      <c r="E17" s="191">
        <v>2016</v>
      </c>
      <c r="F17" s="7"/>
      <c r="G17" s="7"/>
      <c r="H17" s="7"/>
      <c r="I17" s="7"/>
      <c r="J17" s="7"/>
      <c r="K17" s="204"/>
    </row>
    <row r="18" spans="1:26" ht="20.25" customHeight="1" x14ac:dyDescent="0.25">
      <c r="A18" s="286"/>
      <c r="B18" s="262"/>
      <c r="C18" s="203"/>
      <c r="D18" s="406"/>
      <c r="E18" s="191">
        <v>2017</v>
      </c>
      <c r="F18" s="7"/>
      <c r="G18" s="7"/>
      <c r="H18" s="7"/>
      <c r="I18" s="7"/>
      <c r="J18" s="7"/>
      <c r="K18" s="204"/>
    </row>
    <row r="19" spans="1:26" ht="18.75" customHeight="1" x14ac:dyDescent="0.25">
      <c r="A19" s="286"/>
      <c r="B19" s="262"/>
      <c r="C19" s="203"/>
      <c r="D19" s="406"/>
      <c r="E19" s="191">
        <v>2018</v>
      </c>
      <c r="F19" s="7"/>
      <c r="G19" s="7"/>
      <c r="H19" s="7"/>
      <c r="I19" s="7"/>
      <c r="J19" s="7"/>
      <c r="K19" s="204"/>
      <c r="L19" s="123"/>
    </row>
    <row r="20" spans="1:26" ht="15" customHeight="1" x14ac:dyDescent="0.25">
      <c r="A20" s="286"/>
      <c r="B20" s="262"/>
      <c r="C20" s="203"/>
      <c r="D20" s="406"/>
      <c r="E20" s="191">
        <v>2019</v>
      </c>
      <c r="F20" s="7"/>
      <c r="G20" s="7"/>
      <c r="H20" s="7"/>
      <c r="I20" s="7"/>
      <c r="J20" s="7"/>
      <c r="K20" s="204"/>
    </row>
    <row r="21" spans="1:26" ht="17.25" customHeight="1" x14ac:dyDescent="0.25">
      <c r="A21" s="286"/>
      <c r="B21" s="262"/>
      <c r="C21" s="203"/>
      <c r="D21" s="406"/>
      <c r="E21" s="191">
        <v>2020</v>
      </c>
      <c r="F21" s="7"/>
      <c r="G21" s="7"/>
      <c r="H21" s="7"/>
      <c r="I21" s="7"/>
      <c r="J21" s="7"/>
      <c r="K21" s="204"/>
    </row>
    <row r="22" spans="1:26" ht="12.75" customHeight="1" x14ac:dyDescent="0.2">
      <c r="A22" s="286"/>
      <c r="B22" s="263"/>
      <c r="C22" s="203"/>
      <c r="D22" s="407"/>
      <c r="E22" s="24" t="s">
        <v>18</v>
      </c>
      <c r="F22" s="8">
        <f>SUM(F16:F21)</f>
        <v>123364</v>
      </c>
      <c r="G22" s="8">
        <f>SUM(G16:G21)</f>
        <v>0</v>
      </c>
      <c r="H22" s="8">
        <f>SUM(H16:H21)</f>
        <v>118986.5</v>
      </c>
      <c r="I22" s="8">
        <f>SUM(I16:I21)</f>
        <v>4377.5</v>
      </c>
      <c r="J22" s="8"/>
      <c r="K22" s="205"/>
    </row>
    <row r="23" spans="1:26" ht="15" x14ac:dyDescent="0.25">
      <c r="A23" s="286" t="s">
        <v>19</v>
      </c>
      <c r="B23" s="261" t="s">
        <v>128</v>
      </c>
      <c r="C23" s="202">
        <v>2015</v>
      </c>
      <c r="D23" s="405" t="s">
        <v>412</v>
      </c>
      <c r="E23" s="191">
        <v>2015</v>
      </c>
      <c r="F23" s="7">
        <f>SUM(G23:I23)</f>
        <v>5858.9</v>
      </c>
      <c r="G23" s="7"/>
      <c r="H23" s="7">
        <f>104685.7-104685.7</f>
        <v>0</v>
      </c>
      <c r="I23" s="7">
        <v>5858.9</v>
      </c>
      <c r="J23" s="7"/>
      <c r="K23" s="197" t="s">
        <v>115</v>
      </c>
    </row>
    <row r="24" spans="1:26" ht="15" x14ac:dyDescent="0.25">
      <c r="A24" s="286"/>
      <c r="B24" s="262"/>
      <c r="C24" s="203"/>
      <c r="D24" s="406"/>
      <c r="E24" s="191">
        <v>2016</v>
      </c>
      <c r="F24" s="7"/>
      <c r="G24" s="7"/>
      <c r="H24" s="7"/>
      <c r="I24" s="7"/>
      <c r="J24" s="7"/>
      <c r="K24" s="204"/>
    </row>
    <row r="25" spans="1:26" ht="15" x14ac:dyDescent="0.25">
      <c r="A25" s="286"/>
      <c r="B25" s="262"/>
      <c r="C25" s="203"/>
      <c r="D25" s="406"/>
      <c r="E25" s="191">
        <v>2017</v>
      </c>
      <c r="F25" s="7"/>
      <c r="G25" s="7"/>
      <c r="H25" s="7"/>
      <c r="I25" s="7"/>
      <c r="J25" s="7"/>
      <c r="K25" s="204"/>
    </row>
    <row r="26" spans="1:26" ht="15" x14ac:dyDescent="0.25">
      <c r="A26" s="286"/>
      <c r="B26" s="262"/>
      <c r="C26" s="203"/>
      <c r="D26" s="406"/>
      <c r="E26" s="191">
        <v>2018</v>
      </c>
      <c r="F26" s="7"/>
      <c r="G26" s="7"/>
      <c r="H26" s="7"/>
      <c r="I26" s="7"/>
      <c r="J26" s="7"/>
      <c r="K26" s="204"/>
      <c r="L26" s="123"/>
    </row>
    <row r="27" spans="1:26" ht="15" x14ac:dyDescent="0.25">
      <c r="A27" s="286"/>
      <c r="B27" s="262"/>
      <c r="C27" s="203"/>
      <c r="D27" s="406"/>
      <c r="E27" s="191">
        <v>2019</v>
      </c>
      <c r="F27" s="7"/>
      <c r="G27" s="7"/>
      <c r="H27" s="7"/>
      <c r="I27" s="7"/>
      <c r="J27" s="7"/>
      <c r="K27" s="204"/>
    </row>
    <row r="28" spans="1:26" ht="15" x14ac:dyDescent="0.25">
      <c r="A28" s="286"/>
      <c r="B28" s="262"/>
      <c r="C28" s="203"/>
      <c r="D28" s="406"/>
      <c r="E28" s="191">
        <v>2020</v>
      </c>
      <c r="F28" s="7"/>
      <c r="G28" s="7"/>
      <c r="H28" s="7"/>
      <c r="I28" s="7"/>
      <c r="J28" s="7"/>
      <c r="K28" s="204"/>
    </row>
    <row r="29" spans="1:26" ht="15" x14ac:dyDescent="0.25">
      <c r="A29" s="456"/>
      <c r="B29" s="263"/>
      <c r="C29" s="203"/>
      <c r="D29" s="407"/>
      <c r="E29" s="32" t="s">
        <v>18</v>
      </c>
      <c r="F29" s="9">
        <f>SUM(F23:F28)</f>
        <v>5858.9</v>
      </c>
      <c r="G29" s="10">
        <f>SUM(G23:G28)</f>
        <v>0</v>
      </c>
      <c r="H29" s="10">
        <f>SUM(H23:H28)</f>
        <v>0</v>
      </c>
      <c r="I29" s="10">
        <f>SUM(I23:I28)</f>
        <v>5858.9</v>
      </c>
      <c r="J29" s="10"/>
      <c r="K29" s="205"/>
    </row>
    <row r="30" spans="1:26" ht="14.25" x14ac:dyDescent="0.2">
      <c r="A30" s="237" t="s">
        <v>20</v>
      </c>
      <c r="B30" s="345"/>
      <c r="C30" s="345"/>
      <c r="D30" s="345"/>
      <c r="E30" s="182"/>
      <c r="F30" s="11">
        <f>F22+F29</f>
        <v>129222.9</v>
      </c>
      <c r="G30" s="11">
        <f>G22+G29</f>
        <v>0</v>
      </c>
      <c r="H30" s="11">
        <f>H22+H29</f>
        <v>118986.5</v>
      </c>
      <c r="I30" s="11">
        <f>I22+I29</f>
        <v>10236.4</v>
      </c>
      <c r="J30" s="11">
        <f>J22+J29</f>
        <v>0</v>
      </c>
      <c r="K30" s="182"/>
      <c r="L30" s="454"/>
      <c r="M30" s="454"/>
      <c r="N30" s="454"/>
      <c r="O30" s="454"/>
      <c r="P30" s="454"/>
      <c r="Q30" s="454"/>
      <c r="R30" s="454"/>
      <c r="S30" s="454"/>
      <c r="T30" s="454"/>
      <c r="U30" s="454"/>
      <c r="V30" s="454"/>
      <c r="W30" s="454"/>
      <c r="X30" s="454"/>
      <c r="Y30" s="454"/>
      <c r="Z30" s="454"/>
    </row>
    <row r="31" spans="1:26" ht="14.25" x14ac:dyDescent="0.2">
      <c r="A31" s="328" t="s">
        <v>233</v>
      </c>
      <c r="B31" s="323"/>
      <c r="C31" s="323"/>
      <c r="D31" s="323"/>
      <c r="E31" s="323"/>
      <c r="F31" s="323"/>
      <c r="G31" s="323"/>
      <c r="H31" s="323"/>
      <c r="I31" s="323"/>
      <c r="J31" s="323"/>
      <c r="K31" s="323"/>
      <c r="L31" s="196"/>
      <c r="M31" s="196"/>
      <c r="N31" s="196"/>
      <c r="O31" s="196"/>
      <c r="P31" s="196"/>
      <c r="Q31" s="196"/>
      <c r="R31" s="196"/>
      <c r="S31" s="196"/>
      <c r="T31" s="196"/>
      <c r="U31" s="196"/>
      <c r="V31" s="196"/>
      <c r="W31" s="196"/>
      <c r="X31" s="196"/>
      <c r="Y31" s="196"/>
      <c r="Z31" s="196"/>
    </row>
    <row r="32" spans="1:26" ht="12.75" customHeight="1" x14ac:dyDescent="0.2">
      <c r="A32" s="252" t="s">
        <v>60</v>
      </c>
      <c r="B32" s="289" t="s">
        <v>120</v>
      </c>
      <c r="C32" s="229" t="s">
        <v>127</v>
      </c>
      <c r="D32" s="197" t="s">
        <v>218</v>
      </c>
      <c r="E32" s="187">
        <v>2015</v>
      </c>
      <c r="F32" s="1"/>
      <c r="G32" s="1"/>
      <c r="H32" s="1"/>
      <c r="I32" s="1"/>
      <c r="J32" s="1"/>
      <c r="K32" s="457" t="s">
        <v>113</v>
      </c>
    </row>
    <row r="33" spans="1:33" x14ac:dyDescent="0.2">
      <c r="A33" s="253"/>
      <c r="B33" s="455"/>
      <c r="C33" s="198"/>
      <c r="D33" s="204"/>
      <c r="E33" s="191">
        <v>2016</v>
      </c>
      <c r="F33" s="2"/>
      <c r="G33" s="2"/>
      <c r="H33" s="2"/>
      <c r="I33" s="2"/>
      <c r="J33" s="2"/>
      <c r="K33" s="458"/>
    </row>
    <row r="34" spans="1:33" x14ac:dyDescent="0.2">
      <c r="A34" s="253"/>
      <c r="B34" s="455"/>
      <c r="C34" s="198"/>
      <c r="D34" s="204"/>
      <c r="E34" s="191">
        <v>2017</v>
      </c>
      <c r="F34" s="2"/>
      <c r="G34" s="2"/>
      <c r="H34" s="2"/>
      <c r="I34" s="2"/>
      <c r="J34" s="2"/>
      <c r="K34" s="458"/>
      <c r="L34" s="123"/>
    </row>
    <row r="35" spans="1:33" x14ac:dyDescent="0.2">
      <c r="A35" s="253"/>
      <c r="B35" s="455"/>
      <c r="C35" s="198"/>
      <c r="D35" s="204"/>
      <c r="E35" s="191">
        <v>2018</v>
      </c>
      <c r="F35" s="2"/>
      <c r="G35" s="2"/>
      <c r="H35" s="2"/>
      <c r="I35" s="2"/>
      <c r="J35" s="2"/>
      <c r="K35" s="458"/>
    </row>
    <row r="36" spans="1:33" x14ac:dyDescent="0.2">
      <c r="A36" s="253"/>
      <c r="B36" s="455"/>
      <c r="C36" s="198"/>
      <c r="D36" s="204"/>
      <c r="E36" s="191">
        <v>2019</v>
      </c>
      <c r="F36" s="2"/>
      <c r="G36" s="2"/>
      <c r="H36" s="2"/>
      <c r="I36" s="2"/>
      <c r="J36" s="2"/>
      <c r="K36" s="458"/>
    </row>
    <row r="37" spans="1:33" x14ac:dyDescent="0.2">
      <c r="A37" s="253"/>
      <c r="B37" s="455"/>
      <c r="C37" s="198"/>
      <c r="D37" s="204"/>
      <c r="E37" s="191">
        <v>2020</v>
      </c>
      <c r="F37" s="2"/>
      <c r="G37" s="2"/>
      <c r="H37" s="2"/>
      <c r="I37" s="2"/>
      <c r="J37" s="2"/>
      <c r="K37" s="458"/>
    </row>
    <row r="38" spans="1:33" ht="60" customHeight="1" x14ac:dyDescent="0.2">
      <c r="A38" s="253"/>
      <c r="B38" s="393"/>
      <c r="C38" s="199"/>
      <c r="D38" s="205"/>
      <c r="E38" s="24" t="s">
        <v>18</v>
      </c>
      <c r="F38" s="2"/>
      <c r="G38" s="2"/>
      <c r="H38" s="2"/>
      <c r="I38" s="2"/>
      <c r="J38" s="2"/>
      <c r="K38" s="458"/>
    </row>
    <row r="39" spans="1:33" ht="12.75" customHeight="1" x14ac:dyDescent="0.2">
      <c r="A39" s="260" t="s">
        <v>244</v>
      </c>
      <c r="B39" s="261" t="s">
        <v>121</v>
      </c>
      <c r="C39" s="202" t="s">
        <v>127</v>
      </c>
      <c r="D39" s="338" t="s">
        <v>408</v>
      </c>
      <c r="E39" s="191">
        <v>2015</v>
      </c>
      <c r="F39" s="14">
        <f>H39+I39</f>
        <v>505</v>
      </c>
      <c r="G39" s="14"/>
      <c r="H39" s="14">
        <v>500</v>
      </c>
      <c r="I39" s="14">
        <v>5</v>
      </c>
      <c r="J39" s="14"/>
      <c r="K39" s="458"/>
    </row>
    <row r="40" spans="1:33" x14ac:dyDescent="0.2">
      <c r="A40" s="260"/>
      <c r="B40" s="262"/>
      <c r="C40" s="203"/>
      <c r="D40" s="338"/>
      <c r="E40" s="191">
        <v>2016</v>
      </c>
      <c r="F40" s="14">
        <f>SUM(G40:J40)</f>
        <v>0</v>
      </c>
      <c r="G40" s="14"/>
      <c r="H40" s="14">
        <v>0</v>
      </c>
      <c r="I40" s="14">
        <v>0</v>
      </c>
      <c r="J40" s="14"/>
      <c r="K40" s="458"/>
      <c r="L40" s="123"/>
    </row>
    <row r="41" spans="1:33" x14ac:dyDescent="0.2">
      <c r="A41" s="260"/>
      <c r="B41" s="262"/>
      <c r="C41" s="203"/>
      <c r="D41" s="338"/>
      <c r="E41" s="191">
        <v>2017</v>
      </c>
      <c r="F41" s="14">
        <f>SUM(G41:J41)</f>
        <v>0</v>
      </c>
      <c r="G41" s="14"/>
      <c r="H41" s="14"/>
      <c r="I41" s="14"/>
      <c r="J41" s="14"/>
      <c r="K41" s="458"/>
    </row>
    <row r="42" spans="1:33" ht="16.5" customHeight="1" x14ac:dyDescent="0.2">
      <c r="A42" s="260"/>
      <c r="B42" s="262"/>
      <c r="C42" s="203"/>
      <c r="D42" s="338"/>
      <c r="E42" s="191">
        <v>2018</v>
      </c>
      <c r="F42" s="14">
        <f>SUM(G42:J42)</f>
        <v>0</v>
      </c>
      <c r="G42" s="14"/>
      <c r="H42" s="14">
        <f>20165.4-20165.4</f>
        <v>0</v>
      </c>
      <c r="I42" s="14">
        <f>1062-1062</f>
        <v>0</v>
      </c>
      <c r="J42" s="14"/>
      <c r="K42" s="458"/>
      <c r="L42" s="123"/>
    </row>
    <row r="43" spans="1:33" x14ac:dyDescent="0.2">
      <c r="A43" s="260"/>
      <c r="B43" s="262"/>
      <c r="C43" s="203"/>
      <c r="D43" s="338"/>
      <c r="E43" s="191">
        <v>2019</v>
      </c>
      <c r="F43" s="14">
        <f>SUM(G43:J43)</f>
        <v>0</v>
      </c>
      <c r="G43" s="14"/>
      <c r="H43" s="14"/>
      <c r="I43" s="14"/>
      <c r="J43" s="14"/>
      <c r="K43" s="458"/>
    </row>
    <row r="44" spans="1:33" ht="15" customHeight="1" x14ac:dyDescent="0.2">
      <c r="A44" s="260"/>
      <c r="B44" s="262"/>
      <c r="C44" s="203"/>
      <c r="D44" s="338"/>
      <c r="E44" s="191">
        <v>2020</v>
      </c>
      <c r="F44" s="14">
        <f>SUM(G44:J44)</f>
        <v>12632</v>
      </c>
      <c r="G44" s="14"/>
      <c r="H44" s="14">
        <v>12000</v>
      </c>
      <c r="I44" s="14">
        <v>632</v>
      </c>
      <c r="J44" s="14"/>
      <c r="K44" s="458"/>
    </row>
    <row r="45" spans="1:33" ht="57" customHeight="1" x14ac:dyDescent="0.2">
      <c r="A45" s="260"/>
      <c r="B45" s="262"/>
      <c r="C45" s="203"/>
      <c r="D45" s="338"/>
      <c r="E45" s="32" t="s">
        <v>18</v>
      </c>
      <c r="F45" s="51">
        <f>SUM(F39:F44)</f>
        <v>13137</v>
      </c>
      <c r="G45" s="51">
        <f>SUM(G39:G44)</f>
        <v>0</v>
      </c>
      <c r="H45" s="51">
        <f>SUM(H39:H44)</f>
        <v>12500</v>
      </c>
      <c r="I45" s="51">
        <f>SUM(I39:I44)</f>
        <v>637</v>
      </c>
      <c r="J45" s="28"/>
      <c r="K45" s="458"/>
    </row>
    <row r="46" spans="1:33" x14ac:dyDescent="0.2">
      <c r="A46" s="224" t="s">
        <v>246</v>
      </c>
      <c r="B46" s="234" t="s">
        <v>260</v>
      </c>
      <c r="C46" s="228" t="s">
        <v>245</v>
      </c>
      <c r="D46" s="197" t="s">
        <v>408</v>
      </c>
      <c r="E46" s="191">
        <v>2016</v>
      </c>
      <c r="F46" s="14">
        <f t="shared" ref="F46:F47" si="0">SUM(G46:I46)</f>
        <v>0</v>
      </c>
      <c r="G46" s="14"/>
      <c r="H46" s="14">
        <f>7375.9-7375.9</f>
        <v>0</v>
      </c>
      <c r="I46" s="14">
        <f>74.5-74.5</f>
        <v>0</v>
      </c>
      <c r="J46" s="14"/>
      <c r="K46" s="458"/>
      <c r="L46" s="123"/>
    </row>
    <row r="47" spans="1:33" x14ac:dyDescent="0.2">
      <c r="A47" s="225"/>
      <c r="B47" s="289"/>
      <c r="C47" s="229"/>
      <c r="D47" s="204"/>
      <c r="E47" s="191">
        <v>2017</v>
      </c>
      <c r="F47" s="14">
        <f t="shared" si="0"/>
        <v>62.6</v>
      </c>
      <c r="G47" s="14"/>
      <c r="H47" s="14">
        <v>0</v>
      </c>
      <c r="I47" s="14">
        <v>62.6</v>
      </c>
      <c r="J47" s="14"/>
      <c r="K47" s="458"/>
      <c r="L47" s="123" t="s">
        <v>384</v>
      </c>
    </row>
    <row r="48" spans="1:33" ht="105.75" customHeight="1" x14ac:dyDescent="0.2">
      <c r="A48" s="287"/>
      <c r="B48" s="235"/>
      <c r="C48" s="236"/>
      <c r="D48" s="205"/>
      <c r="E48" s="32" t="s">
        <v>18</v>
      </c>
      <c r="F48" s="51">
        <f>SUM(F46:F47)</f>
        <v>62.6</v>
      </c>
      <c r="G48" s="51">
        <f>SUM(G46:G47)</f>
        <v>0</v>
      </c>
      <c r="H48" s="51">
        <f>SUM(H46:H47)</f>
        <v>0</v>
      </c>
      <c r="I48" s="51">
        <f>SUM(I46:I47)</f>
        <v>62.6</v>
      </c>
      <c r="J48" s="28"/>
      <c r="K48" s="458"/>
      <c r="L48" s="123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</row>
    <row r="49" spans="1:33" x14ac:dyDescent="0.2">
      <c r="A49" s="224" t="s">
        <v>278</v>
      </c>
      <c r="B49" s="234" t="s">
        <v>261</v>
      </c>
      <c r="C49" s="228" t="s">
        <v>245</v>
      </c>
      <c r="D49" s="197" t="s">
        <v>408</v>
      </c>
      <c r="E49" s="191">
        <v>2017</v>
      </c>
      <c r="F49" s="14">
        <f t="shared" ref="F49" si="1">SUM(G49:I49)</f>
        <v>2075</v>
      </c>
      <c r="G49" s="14"/>
      <c r="H49" s="14">
        <f>7425-5425</f>
        <v>2000</v>
      </c>
      <c r="I49" s="14">
        <v>75</v>
      </c>
      <c r="J49" s="14"/>
      <c r="K49" s="458"/>
      <c r="L49" s="123"/>
    </row>
    <row r="50" spans="1:33" ht="117" customHeight="1" x14ac:dyDescent="0.2">
      <c r="A50" s="287"/>
      <c r="B50" s="235"/>
      <c r="C50" s="236"/>
      <c r="D50" s="205"/>
      <c r="E50" s="32" t="s">
        <v>18</v>
      </c>
      <c r="F50" s="51">
        <f>SUM(F49:F49)</f>
        <v>2075</v>
      </c>
      <c r="G50" s="51">
        <f>SUM(G49:G49)</f>
        <v>0</v>
      </c>
      <c r="H50" s="51">
        <f>SUM(H49:H49)</f>
        <v>2000</v>
      </c>
      <c r="I50" s="51">
        <f>SUM(I49:I49)</f>
        <v>75</v>
      </c>
      <c r="J50" s="28"/>
      <c r="K50" s="458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</row>
    <row r="51" spans="1:33" x14ac:dyDescent="0.2">
      <c r="A51" s="224" t="s">
        <v>343</v>
      </c>
      <c r="B51" s="234" t="s">
        <v>407</v>
      </c>
      <c r="C51" s="228">
        <v>2017</v>
      </c>
      <c r="D51" s="197" t="s">
        <v>408</v>
      </c>
      <c r="E51" s="191">
        <v>2017</v>
      </c>
      <c r="F51" s="14">
        <f t="shared" ref="F51" si="2">SUM(G51:I51)</f>
        <v>1420.6</v>
      </c>
      <c r="G51" s="14"/>
      <c r="H51" s="14">
        <f>7375.9-7375.9</f>
        <v>0</v>
      </c>
      <c r="I51" s="14">
        <v>1420.6</v>
      </c>
      <c r="J51" s="14"/>
      <c r="K51" s="458"/>
      <c r="L51" s="123"/>
    </row>
    <row r="52" spans="1:33" ht="118.5" customHeight="1" x14ac:dyDescent="0.2">
      <c r="A52" s="287"/>
      <c r="B52" s="235"/>
      <c r="C52" s="236"/>
      <c r="D52" s="205"/>
      <c r="E52" s="32" t="s">
        <v>18</v>
      </c>
      <c r="F52" s="51">
        <f>SUM(F51:F51)</f>
        <v>1420.6</v>
      </c>
      <c r="G52" s="51">
        <f>SUM(G51:G51)</f>
        <v>0</v>
      </c>
      <c r="H52" s="51">
        <f>SUM(H51:H51)</f>
        <v>0</v>
      </c>
      <c r="I52" s="51">
        <f>SUM(I51:I51)</f>
        <v>1420.6</v>
      </c>
      <c r="J52" s="28"/>
      <c r="K52" s="459"/>
      <c r="L52" s="123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</row>
    <row r="53" spans="1:33" ht="24" customHeight="1" x14ac:dyDescent="0.2">
      <c r="A53" s="288" t="s">
        <v>21</v>
      </c>
      <c r="B53" s="288"/>
      <c r="C53" s="288"/>
      <c r="D53" s="288"/>
      <c r="E53" s="184"/>
      <c r="F53" s="15">
        <f>F38+F45+F48+F50+F52</f>
        <v>16695.2</v>
      </c>
      <c r="G53" s="15">
        <f>G38+G45+G48+G50</f>
        <v>0</v>
      </c>
      <c r="H53" s="15">
        <f>H38+H45+H48+H50</f>
        <v>14500</v>
      </c>
      <c r="I53" s="15">
        <f>I38+I45+I48+I50+I51</f>
        <v>2195.1999999999998</v>
      </c>
      <c r="J53" s="36"/>
      <c r="K53" s="168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</row>
    <row r="54" spans="1:33" ht="24.75" customHeight="1" x14ac:dyDescent="0.2">
      <c r="A54" s="283" t="s">
        <v>22</v>
      </c>
      <c r="B54" s="283"/>
      <c r="C54" s="283"/>
      <c r="D54" s="283"/>
      <c r="E54" s="283"/>
      <c r="F54" s="283"/>
      <c r="G54" s="283"/>
      <c r="H54" s="283"/>
      <c r="I54" s="283"/>
      <c r="J54" s="283"/>
      <c r="K54" s="283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4"/>
    </row>
    <row r="55" spans="1:33" ht="13.5" customHeight="1" x14ac:dyDescent="0.2">
      <c r="A55" s="252" t="s">
        <v>119</v>
      </c>
      <c r="B55" s="235" t="s">
        <v>23</v>
      </c>
      <c r="C55" s="236" t="s">
        <v>127</v>
      </c>
      <c r="D55" s="197" t="s">
        <v>218</v>
      </c>
      <c r="E55" s="187">
        <v>2015</v>
      </c>
      <c r="F55" s="12">
        <f>SUM(G55:I55)</f>
        <v>4863.4000000000005</v>
      </c>
      <c r="G55" s="12"/>
      <c r="H55" s="12">
        <v>4814.8</v>
      </c>
      <c r="I55" s="12">
        <v>48.6</v>
      </c>
      <c r="J55" s="12"/>
      <c r="K55" s="197" t="s">
        <v>136</v>
      </c>
      <c r="O55" s="132"/>
    </row>
    <row r="56" spans="1:33" x14ac:dyDescent="0.2">
      <c r="A56" s="253"/>
      <c r="B56" s="262"/>
      <c r="C56" s="203"/>
      <c r="D56" s="204"/>
      <c r="E56" s="191">
        <v>2016</v>
      </c>
      <c r="F56" s="14"/>
      <c r="G56" s="14"/>
      <c r="H56" s="14"/>
      <c r="I56" s="14"/>
      <c r="J56" s="14"/>
      <c r="K56" s="204"/>
    </row>
    <row r="57" spans="1:33" x14ac:dyDescent="0.2">
      <c r="A57" s="253"/>
      <c r="B57" s="262"/>
      <c r="C57" s="203"/>
      <c r="D57" s="204"/>
      <c r="E57" s="191">
        <v>2017</v>
      </c>
      <c r="F57" s="14"/>
      <c r="G57" s="14"/>
      <c r="H57" s="14"/>
      <c r="I57" s="14"/>
      <c r="J57" s="14"/>
      <c r="K57" s="204"/>
      <c r="L57" s="123"/>
    </row>
    <row r="58" spans="1:33" x14ac:dyDescent="0.2">
      <c r="A58" s="253"/>
      <c r="B58" s="262"/>
      <c r="C58" s="203"/>
      <c r="D58" s="204"/>
      <c r="E58" s="191">
        <v>2018</v>
      </c>
      <c r="F58" s="14"/>
      <c r="G58" s="14"/>
      <c r="H58" s="14"/>
      <c r="I58" s="14"/>
      <c r="J58" s="14"/>
      <c r="K58" s="204"/>
    </row>
    <row r="59" spans="1:33" x14ac:dyDescent="0.2">
      <c r="A59" s="253"/>
      <c r="B59" s="262"/>
      <c r="C59" s="203"/>
      <c r="D59" s="204"/>
      <c r="E59" s="191">
        <v>2019</v>
      </c>
      <c r="F59" s="14"/>
      <c r="G59" s="14"/>
      <c r="H59" s="14"/>
      <c r="I59" s="14"/>
      <c r="J59" s="14"/>
      <c r="K59" s="204"/>
    </row>
    <row r="60" spans="1:33" x14ac:dyDescent="0.2">
      <c r="A60" s="253"/>
      <c r="B60" s="262"/>
      <c r="C60" s="203"/>
      <c r="D60" s="204"/>
      <c r="E60" s="191">
        <v>2020</v>
      </c>
      <c r="F60" s="14"/>
      <c r="G60" s="14"/>
      <c r="H60" s="14"/>
      <c r="I60" s="14"/>
      <c r="J60" s="14"/>
      <c r="K60" s="204"/>
    </row>
    <row r="61" spans="1:33" ht="47.25" customHeight="1" x14ac:dyDescent="0.2">
      <c r="A61" s="253"/>
      <c r="B61" s="263"/>
      <c r="C61" s="269"/>
      <c r="D61" s="205"/>
      <c r="E61" s="24" t="s">
        <v>18</v>
      </c>
      <c r="F61" s="13">
        <f>SUM(F55:F60)</f>
        <v>4863.4000000000005</v>
      </c>
      <c r="G61" s="13"/>
      <c r="H61" s="13">
        <f>SUM(H55:H60)</f>
        <v>4814.8</v>
      </c>
      <c r="I61" s="13">
        <f>SUM(I55:I60)</f>
        <v>48.6</v>
      </c>
      <c r="J61" s="14"/>
      <c r="K61" s="204"/>
    </row>
    <row r="62" spans="1:33" ht="12.75" customHeight="1" x14ac:dyDescent="0.2">
      <c r="A62" s="253" t="s">
        <v>279</v>
      </c>
      <c r="B62" s="261" t="s">
        <v>24</v>
      </c>
      <c r="C62" s="202">
        <v>2015</v>
      </c>
      <c r="D62" s="197" t="s">
        <v>218</v>
      </c>
      <c r="E62" s="191">
        <v>2015</v>
      </c>
      <c r="F62" s="14">
        <f>SUM(G62:I62)</f>
        <v>1538.4</v>
      </c>
      <c r="G62" s="14"/>
      <c r="H62" s="14"/>
      <c r="I62" s="14">
        <v>1538.4</v>
      </c>
      <c r="J62" s="14"/>
      <c r="K62" s="204"/>
    </row>
    <row r="63" spans="1:33" x14ac:dyDescent="0.2">
      <c r="A63" s="253"/>
      <c r="B63" s="262"/>
      <c r="C63" s="203"/>
      <c r="D63" s="204"/>
      <c r="E63" s="191">
        <v>2016</v>
      </c>
      <c r="F63" s="14"/>
      <c r="G63" s="14"/>
      <c r="H63" s="14"/>
      <c r="I63" s="14"/>
      <c r="J63" s="14"/>
      <c r="K63" s="204"/>
      <c r="L63" s="123"/>
    </row>
    <row r="64" spans="1:33" x14ac:dyDescent="0.2">
      <c r="A64" s="253"/>
      <c r="B64" s="262"/>
      <c r="C64" s="203"/>
      <c r="D64" s="204"/>
      <c r="E64" s="191">
        <v>2017</v>
      </c>
      <c r="F64" s="14"/>
      <c r="G64" s="14"/>
      <c r="H64" s="14"/>
      <c r="I64" s="14"/>
      <c r="J64" s="14"/>
      <c r="K64" s="204"/>
    </row>
    <row r="65" spans="1:19" x14ac:dyDescent="0.2">
      <c r="A65" s="253"/>
      <c r="B65" s="262"/>
      <c r="C65" s="203"/>
      <c r="D65" s="204"/>
      <c r="E65" s="191">
        <v>2018</v>
      </c>
      <c r="F65" s="14"/>
      <c r="G65" s="14"/>
      <c r="H65" s="14"/>
      <c r="I65" s="14"/>
      <c r="J65" s="14"/>
      <c r="K65" s="204"/>
    </row>
    <row r="66" spans="1:19" x14ac:dyDescent="0.2">
      <c r="A66" s="253"/>
      <c r="B66" s="262"/>
      <c r="C66" s="203"/>
      <c r="D66" s="204"/>
      <c r="E66" s="191">
        <v>2019</v>
      </c>
      <c r="F66" s="14"/>
      <c r="G66" s="14"/>
      <c r="H66" s="14"/>
      <c r="I66" s="14"/>
      <c r="J66" s="14"/>
      <c r="K66" s="204"/>
    </row>
    <row r="67" spans="1:19" x14ac:dyDescent="0.2">
      <c r="A67" s="253"/>
      <c r="B67" s="262"/>
      <c r="C67" s="203"/>
      <c r="D67" s="204"/>
      <c r="E67" s="191">
        <v>2020</v>
      </c>
      <c r="F67" s="14"/>
      <c r="G67" s="14"/>
      <c r="H67" s="14"/>
      <c r="I67" s="14"/>
      <c r="J67" s="14"/>
      <c r="K67" s="204"/>
    </row>
    <row r="68" spans="1:19" ht="13.5" customHeight="1" x14ac:dyDescent="0.2">
      <c r="A68" s="253"/>
      <c r="B68" s="263"/>
      <c r="C68" s="269"/>
      <c r="D68" s="205"/>
      <c r="E68" s="24" t="s">
        <v>18</v>
      </c>
      <c r="F68" s="13">
        <f>SUM(F62:F67)</f>
        <v>1538.4</v>
      </c>
      <c r="G68" s="13"/>
      <c r="H68" s="13"/>
      <c r="I68" s="13">
        <f>SUM(I62:I67)</f>
        <v>1538.4</v>
      </c>
      <c r="J68" s="14"/>
      <c r="K68" s="205"/>
    </row>
    <row r="69" spans="1:19" x14ac:dyDescent="0.2">
      <c r="A69" s="253" t="s">
        <v>280</v>
      </c>
      <c r="B69" s="261" t="s">
        <v>25</v>
      </c>
      <c r="C69" s="228" t="s">
        <v>127</v>
      </c>
      <c r="D69" s="197" t="s">
        <v>218</v>
      </c>
      <c r="E69" s="191">
        <v>2015</v>
      </c>
      <c r="F69" s="14">
        <f t="shared" ref="F69:F74" si="3">SUM(G69:J69)</f>
        <v>21031.8</v>
      </c>
      <c r="G69" s="14"/>
      <c r="H69" s="14"/>
      <c r="I69" s="14">
        <f>22881.8-1000-850</f>
        <v>21031.8</v>
      </c>
      <c r="J69" s="14"/>
      <c r="K69" s="197" t="s">
        <v>138</v>
      </c>
    </row>
    <row r="70" spans="1:19" x14ac:dyDescent="0.2">
      <c r="A70" s="253"/>
      <c r="B70" s="262"/>
      <c r="C70" s="198"/>
      <c r="D70" s="204"/>
      <c r="E70" s="191">
        <v>2016</v>
      </c>
      <c r="F70" s="14">
        <f t="shared" si="3"/>
        <v>21444.400000000001</v>
      </c>
      <c r="G70" s="14"/>
      <c r="H70" s="14"/>
      <c r="I70" s="14">
        <f>22597.2-180.3-509-463.5</f>
        <v>21444.400000000001</v>
      </c>
      <c r="J70" s="14"/>
      <c r="K70" s="270"/>
      <c r="L70" s="34"/>
      <c r="M70" s="34"/>
      <c r="N70" s="138" t="s">
        <v>342</v>
      </c>
      <c r="O70" s="140"/>
      <c r="P70" s="138" t="s">
        <v>341</v>
      </c>
      <c r="Q70" s="139"/>
      <c r="R70" s="139"/>
      <c r="S70" s="140"/>
    </row>
    <row r="71" spans="1:19" x14ac:dyDescent="0.2">
      <c r="A71" s="253"/>
      <c r="B71" s="262"/>
      <c r="C71" s="198"/>
      <c r="D71" s="204"/>
      <c r="E71" s="191">
        <v>2017</v>
      </c>
      <c r="F71" s="14">
        <f t="shared" si="3"/>
        <v>44377.700000000004</v>
      </c>
      <c r="G71" s="14"/>
      <c r="H71" s="14"/>
      <c r="I71" s="14">
        <f>21166.7+19807.9+3403.1</f>
        <v>44377.700000000004</v>
      </c>
      <c r="J71" s="14"/>
      <c r="K71" s="270"/>
      <c r="L71" s="123" t="s">
        <v>371</v>
      </c>
      <c r="M71" s="130"/>
      <c r="N71" s="133" t="s">
        <v>338</v>
      </c>
      <c r="O71" s="141">
        <v>21166.7</v>
      </c>
      <c r="P71" s="133" t="s">
        <v>339</v>
      </c>
      <c r="Q71" s="135">
        <v>11932.5</v>
      </c>
      <c r="R71" s="136" t="s">
        <v>340</v>
      </c>
      <c r="S71" s="137">
        <v>7875.4</v>
      </c>
    </row>
    <row r="72" spans="1:19" x14ac:dyDescent="0.2">
      <c r="A72" s="253"/>
      <c r="B72" s="262"/>
      <c r="C72" s="198"/>
      <c r="D72" s="204"/>
      <c r="E72" s="191">
        <v>2018</v>
      </c>
      <c r="F72" s="14">
        <f t="shared" si="3"/>
        <v>14534.9</v>
      </c>
      <c r="G72" s="14"/>
      <c r="H72" s="14"/>
      <c r="I72" s="14">
        <f>22701-8166.1</f>
        <v>14534.9</v>
      </c>
      <c r="J72" s="14"/>
      <c r="K72" s="204"/>
      <c r="L72" s="123"/>
      <c r="M72" s="130"/>
    </row>
    <row r="73" spans="1:19" x14ac:dyDescent="0.2">
      <c r="A73" s="253"/>
      <c r="B73" s="262"/>
      <c r="C73" s="198"/>
      <c r="D73" s="204"/>
      <c r="E73" s="191">
        <v>2019</v>
      </c>
      <c r="F73" s="14">
        <f t="shared" si="3"/>
        <v>9071</v>
      </c>
      <c r="G73" s="14"/>
      <c r="H73" s="14"/>
      <c r="I73" s="14">
        <f>22360.5-13289.5</f>
        <v>9071</v>
      </c>
      <c r="J73" s="14"/>
      <c r="K73" s="204"/>
      <c r="L73" s="123"/>
      <c r="M73" s="130"/>
    </row>
    <row r="74" spans="1:19" x14ac:dyDescent="0.2">
      <c r="A74" s="253"/>
      <c r="B74" s="262"/>
      <c r="C74" s="198"/>
      <c r="D74" s="204"/>
      <c r="E74" s="191">
        <v>2020</v>
      </c>
      <c r="F74" s="14">
        <f t="shared" si="3"/>
        <v>21387.8</v>
      </c>
      <c r="G74" s="14"/>
      <c r="H74" s="14"/>
      <c r="I74" s="14">
        <v>21387.8</v>
      </c>
      <c r="J74" s="14"/>
      <c r="K74" s="204"/>
      <c r="M74" s="34"/>
    </row>
    <row r="75" spans="1:19" ht="38.25" customHeight="1" x14ac:dyDescent="0.2">
      <c r="A75" s="253"/>
      <c r="B75" s="262"/>
      <c r="C75" s="199"/>
      <c r="D75" s="205"/>
      <c r="E75" s="24" t="s">
        <v>18</v>
      </c>
      <c r="F75" s="13">
        <f>SUM(F69:F74)</f>
        <v>131847.59999999998</v>
      </c>
      <c r="G75" s="13"/>
      <c r="H75" s="13"/>
      <c r="I75" s="13">
        <f>SUM(I69:I74)</f>
        <v>131847.59999999998</v>
      </c>
      <c r="J75" s="13"/>
      <c r="K75" s="205"/>
    </row>
    <row r="76" spans="1:19" x14ac:dyDescent="0.2">
      <c r="A76" s="253" t="s">
        <v>281</v>
      </c>
      <c r="B76" s="261" t="s">
        <v>262</v>
      </c>
      <c r="C76" s="228" t="s">
        <v>127</v>
      </c>
      <c r="D76" s="197" t="s">
        <v>218</v>
      </c>
      <c r="E76" s="191">
        <v>2017</v>
      </c>
      <c r="F76" s="14">
        <f t="shared" ref="F76:F79" si="4">SUM(G76:J76)</f>
        <v>10971.099999999999</v>
      </c>
      <c r="G76" s="14"/>
      <c r="H76" s="14">
        <f>20253.8-8128.5-1154.2</f>
        <v>10971.099999999999</v>
      </c>
      <c r="I76" s="14"/>
      <c r="J76" s="14"/>
      <c r="K76" s="197" t="s">
        <v>274</v>
      </c>
      <c r="L76" s="123" t="s">
        <v>330</v>
      </c>
      <c r="M76" s="4">
        <v>8128.5</v>
      </c>
      <c r="N76" s="123"/>
    </row>
    <row r="77" spans="1:19" x14ac:dyDescent="0.2">
      <c r="A77" s="253"/>
      <c r="B77" s="262"/>
      <c r="C77" s="198"/>
      <c r="D77" s="204"/>
      <c r="E77" s="191">
        <v>2018</v>
      </c>
      <c r="F77" s="14">
        <f t="shared" si="4"/>
        <v>0</v>
      </c>
      <c r="G77" s="14"/>
      <c r="H77" s="14"/>
      <c r="I77" s="14"/>
      <c r="J77" s="14"/>
      <c r="K77" s="204"/>
    </row>
    <row r="78" spans="1:19" x14ac:dyDescent="0.2">
      <c r="A78" s="253"/>
      <c r="B78" s="262"/>
      <c r="C78" s="198"/>
      <c r="D78" s="204"/>
      <c r="E78" s="191">
        <v>2019</v>
      </c>
      <c r="F78" s="14">
        <f t="shared" si="4"/>
        <v>0</v>
      </c>
      <c r="G78" s="14"/>
      <c r="H78" s="14"/>
      <c r="I78" s="14"/>
      <c r="J78" s="14"/>
      <c r="K78" s="204"/>
      <c r="M78" s="130"/>
    </row>
    <row r="79" spans="1:19" x14ac:dyDescent="0.2">
      <c r="A79" s="253"/>
      <c r="B79" s="262"/>
      <c r="C79" s="198"/>
      <c r="D79" s="204"/>
      <c r="E79" s="191">
        <v>2020</v>
      </c>
      <c r="F79" s="14">
        <f t="shared" si="4"/>
        <v>0</v>
      </c>
      <c r="G79" s="14"/>
      <c r="H79" s="14"/>
      <c r="I79" s="14"/>
      <c r="J79" s="14"/>
      <c r="K79" s="204"/>
      <c r="L79" s="123"/>
      <c r="M79" s="130"/>
    </row>
    <row r="80" spans="1:19" ht="60" customHeight="1" x14ac:dyDescent="0.2">
      <c r="A80" s="253"/>
      <c r="B80" s="262"/>
      <c r="C80" s="199"/>
      <c r="D80" s="205"/>
      <c r="E80" s="24" t="s">
        <v>18</v>
      </c>
      <c r="F80" s="13">
        <f>SUM(F76:F79)</f>
        <v>10971.099999999999</v>
      </c>
      <c r="G80" s="13"/>
      <c r="H80" s="13">
        <f t="shared" ref="H80" si="5">SUM(H76:H79)</f>
        <v>10971.099999999999</v>
      </c>
      <c r="I80" s="13">
        <f>SUM(I76:I79)</f>
        <v>0</v>
      </c>
      <c r="J80" s="13"/>
      <c r="K80" s="205"/>
    </row>
    <row r="81" spans="1:36" ht="14.25" x14ac:dyDescent="0.2">
      <c r="A81" s="288" t="s">
        <v>26</v>
      </c>
      <c r="B81" s="288"/>
      <c r="C81" s="288"/>
      <c r="D81" s="288"/>
      <c r="E81" s="184"/>
      <c r="F81" s="15">
        <f>F61+F68+F75+F80</f>
        <v>149220.49999999997</v>
      </c>
      <c r="G81" s="15"/>
      <c r="H81" s="15">
        <f>H61+H80</f>
        <v>15785.899999999998</v>
      </c>
      <c r="I81" s="15">
        <f>I61+I68+I75</f>
        <v>133434.59999999998</v>
      </c>
      <c r="J81" s="36"/>
      <c r="K81" s="184"/>
    </row>
    <row r="82" spans="1:36" ht="15" thickBot="1" x14ac:dyDescent="0.25">
      <c r="A82" s="328" t="s">
        <v>27</v>
      </c>
      <c r="B82" s="323"/>
      <c r="C82" s="323"/>
      <c r="D82" s="323"/>
      <c r="E82" s="323"/>
      <c r="F82" s="323"/>
      <c r="G82" s="323"/>
      <c r="H82" s="323"/>
      <c r="I82" s="323"/>
      <c r="J82" s="323"/>
      <c r="K82" s="323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8"/>
    </row>
    <row r="83" spans="1:36" x14ac:dyDescent="0.2">
      <c r="A83" s="252" t="s">
        <v>282</v>
      </c>
      <c r="B83" s="451" t="s">
        <v>135</v>
      </c>
      <c r="C83" s="228" t="s">
        <v>127</v>
      </c>
      <c r="D83" s="197" t="s">
        <v>218</v>
      </c>
      <c r="E83" s="187">
        <v>2015</v>
      </c>
      <c r="F83" s="12">
        <f>SUM(G83:I83)</f>
        <v>2018.1000000000001</v>
      </c>
      <c r="G83" s="12"/>
      <c r="H83" s="12">
        <v>1997.9</v>
      </c>
      <c r="I83" s="12">
        <v>20.2</v>
      </c>
      <c r="J83" s="12"/>
      <c r="K83" s="197" t="s">
        <v>139</v>
      </c>
      <c r="L83" s="196"/>
      <c r="M83" s="196"/>
      <c r="N83" s="196"/>
      <c r="O83" s="196"/>
      <c r="P83" s="196"/>
      <c r="Q83" s="196"/>
      <c r="R83" s="196"/>
      <c r="S83" s="196"/>
      <c r="T83" s="196"/>
      <c r="U83" s="196"/>
      <c r="V83" s="196"/>
      <c r="W83" s="196"/>
      <c r="X83" s="196"/>
      <c r="Y83" s="196"/>
      <c r="Z83" s="196"/>
      <c r="AA83" s="196"/>
      <c r="AB83" s="196"/>
      <c r="AC83" s="196"/>
      <c r="AD83" s="196"/>
      <c r="AE83" s="196"/>
      <c r="AF83" s="196"/>
      <c r="AG83" s="196"/>
      <c r="AH83" s="196"/>
      <c r="AI83" s="196"/>
      <c r="AJ83" s="196"/>
    </row>
    <row r="84" spans="1:36" x14ac:dyDescent="0.2">
      <c r="A84" s="253"/>
      <c r="B84" s="452"/>
      <c r="C84" s="198"/>
      <c r="D84" s="204"/>
      <c r="E84" s="191">
        <v>2016</v>
      </c>
      <c r="F84" s="14"/>
      <c r="G84" s="14"/>
      <c r="H84" s="14"/>
      <c r="I84" s="14"/>
      <c r="J84" s="14"/>
      <c r="K84" s="204"/>
      <c r="L84" s="196"/>
      <c r="M84" s="196"/>
      <c r="N84" s="196"/>
      <c r="O84" s="196"/>
      <c r="P84" s="196"/>
      <c r="Q84" s="196"/>
      <c r="R84" s="196"/>
      <c r="S84" s="196"/>
      <c r="T84" s="196"/>
      <c r="U84" s="196"/>
      <c r="V84" s="196"/>
      <c r="W84" s="196"/>
      <c r="X84" s="196"/>
      <c r="Y84" s="196"/>
      <c r="Z84" s="196"/>
      <c r="AA84" s="196"/>
      <c r="AB84" s="196"/>
      <c r="AC84" s="196"/>
      <c r="AD84" s="196"/>
      <c r="AE84" s="196"/>
      <c r="AF84" s="196"/>
      <c r="AG84" s="196"/>
      <c r="AH84" s="196"/>
      <c r="AI84" s="196"/>
      <c r="AJ84" s="196"/>
    </row>
    <row r="85" spans="1:36" x14ac:dyDescent="0.2">
      <c r="A85" s="253"/>
      <c r="B85" s="452"/>
      <c r="C85" s="198"/>
      <c r="D85" s="204"/>
      <c r="E85" s="191">
        <v>2017</v>
      </c>
      <c r="F85" s="14">
        <f>SUM(G85:I85)</f>
        <v>0</v>
      </c>
      <c r="G85" s="14"/>
      <c r="H85" s="14">
        <f>23675-23675</f>
        <v>0</v>
      </c>
      <c r="I85" s="14">
        <f>239.1-239.1</f>
        <v>0</v>
      </c>
      <c r="J85" s="14"/>
      <c r="K85" s="204"/>
      <c r="L85" s="195"/>
      <c r="M85" s="196"/>
      <c r="N85" s="196"/>
      <c r="O85" s="196"/>
      <c r="P85" s="196"/>
      <c r="Q85" s="196"/>
      <c r="R85" s="196"/>
      <c r="S85" s="196"/>
      <c r="T85" s="196"/>
      <c r="U85" s="196"/>
      <c r="V85" s="196"/>
      <c r="W85" s="196"/>
      <c r="X85" s="196"/>
      <c r="Y85" s="196"/>
      <c r="Z85" s="196"/>
      <c r="AA85" s="196"/>
      <c r="AB85" s="196"/>
      <c r="AC85" s="196"/>
      <c r="AD85" s="196"/>
      <c r="AE85" s="196"/>
      <c r="AF85" s="196"/>
      <c r="AG85" s="196"/>
      <c r="AH85" s="196"/>
      <c r="AI85" s="196"/>
      <c r="AJ85" s="196"/>
    </row>
    <row r="86" spans="1:36" x14ac:dyDescent="0.2">
      <c r="A86" s="253"/>
      <c r="B86" s="452"/>
      <c r="C86" s="198"/>
      <c r="D86" s="204"/>
      <c r="E86" s="191">
        <v>2018</v>
      </c>
      <c r="F86" s="14"/>
      <c r="G86" s="14"/>
      <c r="H86" s="14"/>
      <c r="I86" s="14"/>
      <c r="J86" s="14"/>
      <c r="K86" s="204"/>
      <c r="L86" s="123"/>
      <c r="M86" s="196"/>
      <c r="N86" s="196"/>
      <c r="O86" s="196"/>
      <c r="P86" s="196"/>
      <c r="Q86" s="196"/>
      <c r="R86" s="196"/>
      <c r="S86" s="196"/>
      <c r="T86" s="196"/>
      <c r="U86" s="196"/>
      <c r="V86" s="196"/>
      <c r="W86" s="196"/>
      <c r="X86" s="196"/>
      <c r="Y86" s="196"/>
      <c r="Z86" s="196"/>
      <c r="AA86" s="196"/>
      <c r="AB86" s="196"/>
      <c r="AC86" s="196"/>
      <c r="AD86" s="196"/>
      <c r="AE86" s="196"/>
      <c r="AF86" s="196"/>
      <c r="AG86" s="196"/>
      <c r="AH86" s="196"/>
      <c r="AI86" s="196"/>
      <c r="AJ86" s="196"/>
    </row>
    <row r="87" spans="1:36" x14ac:dyDescent="0.2">
      <c r="A87" s="253"/>
      <c r="B87" s="452"/>
      <c r="C87" s="198"/>
      <c r="D87" s="204"/>
      <c r="E87" s="191">
        <v>2019</v>
      </c>
      <c r="F87" s="14"/>
      <c r="G87" s="14"/>
      <c r="H87" s="14"/>
      <c r="I87" s="14"/>
      <c r="J87" s="14"/>
      <c r="K87" s="204"/>
      <c r="L87" s="196"/>
      <c r="M87" s="196"/>
      <c r="N87" s="196"/>
      <c r="O87" s="196"/>
      <c r="P87" s="196"/>
      <c r="Q87" s="196"/>
      <c r="R87" s="196"/>
      <c r="S87" s="196"/>
      <c r="T87" s="196"/>
      <c r="U87" s="196"/>
      <c r="V87" s="196"/>
      <c r="W87" s="196"/>
      <c r="X87" s="196"/>
      <c r="Y87" s="196"/>
      <c r="Z87" s="196"/>
      <c r="AA87" s="196"/>
      <c r="AB87" s="196"/>
      <c r="AC87" s="196"/>
      <c r="AD87" s="196"/>
      <c r="AE87" s="196"/>
      <c r="AF87" s="196"/>
      <c r="AG87" s="196"/>
      <c r="AH87" s="196"/>
      <c r="AI87" s="196"/>
      <c r="AJ87" s="196"/>
    </row>
    <row r="88" spans="1:36" x14ac:dyDescent="0.2">
      <c r="A88" s="253"/>
      <c r="B88" s="452"/>
      <c r="C88" s="198"/>
      <c r="D88" s="204"/>
      <c r="E88" s="191">
        <v>2020</v>
      </c>
      <c r="F88" s="14"/>
      <c r="G88" s="14"/>
      <c r="H88" s="14"/>
      <c r="I88" s="14"/>
      <c r="J88" s="14"/>
      <c r="K88" s="204"/>
      <c r="L88" s="196"/>
      <c r="M88" s="196"/>
      <c r="N88" s="196"/>
      <c r="O88" s="196"/>
      <c r="P88" s="196"/>
      <c r="Q88" s="196"/>
      <c r="R88" s="196"/>
      <c r="S88" s="196"/>
      <c r="T88" s="196"/>
      <c r="U88" s="196"/>
      <c r="V88" s="196"/>
      <c r="W88" s="196"/>
      <c r="X88" s="196"/>
      <c r="Y88" s="196"/>
      <c r="Z88" s="196"/>
      <c r="AA88" s="196"/>
      <c r="AB88" s="196"/>
      <c r="AC88" s="196"/>
      <c r="AD88" s="196"/>
      <c r="AE88" s="196"/>
      <c r="AF88" s="196"/>
      <c r="AG88" s="196"/>
      <c r="AH88" s="196"/>
      <c r="AI88" s="196"/>
      <c r="AJ88" s="196"/>
    </row>
    <row r="89" spans="1:36" ht="30" customHeight="1" x14ac:dyDescent="0.2">
      <c r="A89" s="253"/>
      <c r="B89" s="453"/>
      <c r="C89" s="199"/>
      <c r="D89" s="205"/>
      <c r="E89" s="24" t="s">
        <v>18</v>
      </c>
      <c r="F89" s="13">
        <f>SUM(G89:I89)</f>
        <v>2018.1000000000001</v>
      </c>
      <c r="G89" s="13"/>
      <c r="H89" s="13">
        <f>SUM(H83:H87)</f>
        <v>1997.9</v>
      </c>
      <c r="I89" s="13">
        <f>SUM(I83:I87)</f>
        <v>20.2</v>
      </c>
      <c r="J89" s="14"/>
      <c r="K89" s="205"/>
      <c r="L89" s="196"/>
      <c r="M89" s="196"/>
      <c r="N89" s="196"/>
      <c r="O89" s="196"/>
      <c r="P89" s="196"/>
      <c r="Q89" s="196"/>
      <c r="R89" s="196"/>
      <c r="S89" s="196"/>
      <c r="T89" s="196"/>
      <c r="U89" s="196"/>
      <c r="V89" s="196"/>
      <c r="W89" s="196"/>
      <c r="X89" s="196"/>
      <c r="Y89" s="196"/>
      <c r="Z89" s="196"/>
      <c r="AA89" s="196"/>
      <c r="AB89" s="196"/>
      <c r="AC89" s="196"/>
      <c r="AD89" s="196"/>
      <c r="AE89" s="196"/>
      <c r="AF89" s="196"/>
      <c r="AG89" s="196"/>
      <c r="AH89" s="196"/>
      <c r="AI89" s="196"/>
      <c r="AJ89" s="196"/>
    </row>
    <row r="90" spans="1:36" ht="15" customHeight="1" x14ac:dyDescent="0.2">
      <c r="A90" s="410" t="s">
        <v>283</v>
      </c>
      <c r="B90" s="226" t="s">
        <v>248</v>
      </c>
      <c r="C90" s="228" t="s">
        <v>217</v>
      </c>
      <c r="D90" s="197" t="s">
        <v>218</v>
      </c>
      <c r="E90" s="187">
        <v>2015</v>
      </c>
      <c r="F90" s="12"/>
      <c r="G90" s="12"/>
      <c r="H90" s="12"/>
      <c r="I90" s="12"/>
      <c r="J90" s="12"/>
      <c r="K90" s="197" t="s">
        <v>140</v>
      </c>
      <c r="L90" s="196"/>
      <c r="M90" s="196"/>
      <c r="N90" s="196"/>
      <c r="O90" s="196"/>
      <c r="P90" s="196"/>
      <c r="Q90" s="196"/>
      <c r="R90" s="196"/>
      <c r="S90" s="196"/>
      <c r="T90" s="196"/>
      <c r="U90" s="196"/>
      <c r="V90" s="196"/>
      <c r="W90" s="196"/>
      <c r="X90" s="196"/>
      <c r="Y90" s="196"/>
      <c r="Z90" s="196"/>
      <c r="AA90" s="196"/>
      <c r="AB90" s="196"/>
      <c r="AC90" s="196"/>
      <c r="AD90" s="196"/>
      <c r="AE90" s="196"/>
      <c r="AF90" s="196"/>
      <c r="AG90" s="196"/>
      <c r="AH90" s="196"/>
      <c r="AI90" s="196"/>
      <c r="AJ90" s="196"/>
    </row>
    <row r="91" spans="1:36" ht="15" customHeight="1" x14ac:dyDescent="0.2">
      <c r="A91" s="411"/>
      <c r="B91" s="227"/>
      <c r="C91" s="229"/>
      <c r="D91" s="204"/>
      <c r="E91" s="191">
        <v>2016</v>
      </c>
      <c r="F91" s="12">
        <f>SUM(G91:J91)</f>
        <v>7379.4</v>
      </c>
      <c r="G91" s="14"/>
      <c r="H91" s="14"/>
      <c r="I91" s="14">
        <f>1500+4748.2+1131.2</f>
        <v>7379.4</v>
      </c>
      <c r="J91" s="14"/>
      <c r="K91" s="204"/>
      <c r="L91" s="195"/>
      <c r="M91" s="195"/>
      <c r="N91" s="195"/>
      <c r="O91" s="195"/>
      <c r="P91" s="196"/>
      <c r="Q91" s="196"/>
      <c r="R91" s="196"/>
      <c r="S91" s="196"/>
      <c r="T91" s="196"/>
      <c r="U91" s="196"/>
      <c r="V91" s="196"/>
      <c r="W91" s="196"/>
      <c r="X91" s="196"/>
      <c r="Y91" s="196"/>
      <c r="Z91" s="196"/>
      <c r="AA91" s="196"/>
      <c r="AB91" s="196"/>
      <c r="AC91" s="196"/>
      <c r="AD91" s="196"/>
      <c r="AE91" s="196"/>
      <c r="AF91" s="196"/>
      <c r="AG91" s="196"/>
      <c r="AH91" s="196"/>
      <c r="AI91" s="196"/>
      <c r="AJ91" s="196"/>
    </row>
    <row r="92" spans="1:36" ht="12.75" customHeight="1" x14ac:dyDescent="0.2">
      <c r="A92" s="411"/>
      <c r="B92" s="227"/>
      <c r="C92" s="229"/>
      <c r="D92" s="204"/>
      <c r="E92" s="191">
        <v>2017</v>
      </c>
      <c r="F92" s="12">
        <f>SUM(G92:J92)</f>
        <v>3628</v>
      </c>
      <c r="G92" s="14"/>
      <c r="H92" s="14"/>
      <c r="I92" s="14">
        <v>3628</v>
      </c>
      <c r="J92" s="14"/>
      <c r="K92" s="204"/>
      <c r="L92" s="195"/>
      <c r="M92" s="290"/>
      <c r="N92" s="290"/>
      <c r="O92" s="290"/>
      <c r="P92" s="196"/>
      <c r="Q92" s="196"/>
      <c r="R92" s="196"/>
      <c r="S92" s="196"/>
      <c r="T92" s="196"/>
      <c r="U92" s="196"/>
      <c r="V92" s="196"/>
      <c r="W92" s="196"/>
      <c r="X92" s="196"/>
      <c r="Y92" s="196"/>
      <c r="Z92" s="196"/>
      <c r="AA92" s="196"/>
      <c r="AB92" s="196"/>
      <c r="AC92" s="196"/>
      <c r="AD92" s="196"/>
      <c r="AE92" s="196"/>
      <c r="AF92" s="196"/>
      <c r="AG92" s="196"/>
      <c r="AH92" s="196"/>
      <c r="AI92" s="196"/>
      <c r="AJ92" s="196"/>
    </row>
    <row r="93" spans="1:36" ht="12" customHeight="1" x14ac:dyDescent="0.2">
      <c r="A93" s="411"/>
      <c r="B93" s="227"/>
      <c r="C93" s="229"/>
      <c r="D93" s="204"/>
      <c r="E93" s="191">
        <v>2018</v>
      </c>
      <c r="F93" s="12">
        <f>SUM(G93:J93)</f>
        <v>1000</v>
      </c>
      <c r="G93" s="14"/>
      <c r="H93" s="14"/>
      <c r="I93" s="14">
        <v>1000</v>
      </c>
      <c r="J93" s="14"/>
      <c r="K93" s="204"/>
      <c r="L93" s="123"/>
      <c r="M93" s="195"/>
      <c r="N93" s="195"/>
      <c r="O93" s="195"/>
      <c r="P93" s="196"/>
      <c r="Q93" s="196"/>
      <c r="R93" s="196"/>
      <c r="S93" s="196"/>
      <c r="T93" s="196"/>
      <c r="U93" s="196"/>
      <c r="V93" s="196"/>
      <c r="W93" s="196"/>
      <c r="X93" s="196"/>
      <c r="Y93" s="196"/>
      <c r="Z93" s="196"/>
      <c r="AA93" s="196"/>
      <c r="AB93" s="196"/>
      <c r="AC93" s="196"/>
      <c r="AD93" s="196"/>
      <c r="AE93" s="196"/>
      <c r="AF93" s="196"/>
      <c r="AG93" s="196"/>
      <c r="AH93" s="196"/>
      <c r="AI93" s="196"/>
      <c r="AJ93" s="196"/>
    </row>
    <row r="94" spans="1:36" ht="14.25" customHeight="1" x14ac:dyDescent="0.2">
      <c r="A94" s="411"/>
      <c r="B94" s="227"/>
      <c r="C94" s="229"/>
      <c r="D94" s="204"/>
      <c r="E94" s="191">
        <v>2019</v>
      </c>
      <c r="F94" s="12">
        <f>SUM(G94:J94)</f>
        <v>1000</v>
      </c>
      <c r="G94" s="14"/>
      <c r="H94" s="14"/>
      <c r="I94" s="14">
        <v>1000</v>
      </c>
      <c r="J94" s="14"/>
      <c r="K94" s="204"/>
      <c r="L94" s="195"/>
      <c r="M94" s="195"/>
      <c r="N94" s="195"/>
      <c r="O94" s="195"/>
      <c r="P94" s="196"/>
      <c r="Q94" s="196"/>
      <c r="R94" s="196"/>
      <c r="S94" s="196"/>
      <c r="T94" s="196"/>
      <c r="U94" s="196"/>
      <c r="V94" s="196"/>
      <c r="W94" s="196"/>
      <c r="X94" s="196"/>
      <c r="Y94" s="196"/>
      <c r="Z94" s="196"/>
      <c r="AA94" s="196"/>
      <c r="AB94" s="196"/>
      <c r="AC94" s="196"/>
      <c r="AD94" s="196"/>
      <c r="AE94" s="196"/>
      <c r="AF94" s="196"/>
      <c r="AG94" s="196"/>
      <c r="AH94" s="196"/>
      <c r="AI94" s="196"/>
      <c r="AJ94" s="196"/>
    </row>
    <row r="95" spans="1:36" ht="12" customHeight="1" x14ac:dyDescent="0.2">
      <c r="A95" s="411"/>
      <c r="B95" s="227"/>
      <c r="C95" s="229"/>
      <c r="D95" s="204"/>
      <c r="E95" s="191">
        <v>2020</v>
      </c>
      <c r="F95" s="14"/>
      <c r="G95" s="14"/>
      <c r="H95" s="14"/>
      <c r="I95" s="14"/>
      <c r="J95" s="14"/>
      <c r="K95" s="204"/>
      <c r="L95" s="195"/>
      <c r="M95" s="195"/>
      <c r="N95" s="195"/>
      <c r="O95" s="195"/>
      <c r="P95" s="196"/>
      <c r="Q95" s="196"/>
      <c r="R95" s="196"/>
      <c r="S95" s="196"/>
      <c r="T95" s="196"/>
      <c r="U95" s="196"/>
      <c r="V95" s="196"/>
      <c r="W95" s="196"/>
      <c r="X95" s="196"/>
      <c r="Y95" s="196"/>
      <c r="Z95" s="196"/>
      <c r="AA95" s="196"/>
      <c r="AB95" s="196"/>
      <c r="AC95" s="196"/>
      <c r="AD95" s="196"/>
      <c r="AE95" s="196"/>
      <c r="AF95" s="196"/>
      <c r="AG95" s="196"/>
      <c r="AH95" s="196"/>
      <c r="AI95" s="196"/>
      <c r="AJ95" s="196"/>
    </row>
    <row r="96" spans="1:36" ht="15" customHeight="1" x14ac:dyDescent="0.2">
      <c r="A96" s="412"/>
      <c r="B96" s="211"/>
      <c r="C96" s="236"/>
      <c r="D96" s="205"/>
      <c r="E96" s="24" t="s">
        <v>18</v>
      </c>
      <c r="F96" s="13">
        <f>SUM(G96:I96)</f>
        <v>13007.4</v>
      </c>
      <c r="G96" s="13"/>
      <c r="H96" s="13">
        <f>SUM(H90:H94)</f>
        <v>0</v>
      </c>
      <c r="I96" s="13">
        <f>SUM(I90:I94)</f>
        <v>13007.4</v>
      </c>
      <c r="J96" s="14"/>
      <c r="K96" s="205"/>
      <c r="L96" s="196"/>
      <c r="M96" s="196"/>
      <c r="N96" s="196"/>
      <c r="O96" s="196"/>
      <c r="P96" s="196"/>
      <c r="Q96" s="196"/>
      <c r="R96" s="196"/>
      <c r="S96" s="196"/>
      <c r="T96" s="196"/>
      <c r="U96" s="196"/>
      <c r="V96" s="196"/>
      <c r="W96" s="196"/>
      <c r="X96" s="196"/>
      <c r="Y96" s="196"/>
      <c r="Z96" s="196"/>
      <c r="AA96" s="196"/>
      <c r="AB96" s="196"/>
      <c r="AC96" s="196"/>
      <c r="AD96" s="196"/>
      <c r="AE96" s="196"/>
      <c r="AF96" s="196"/>
      <c r="AG96" s="196"/>
      <c r="AH96" s="196"/>
      <c r="AI96" s="196"/>
      <c r="AJ96" s="196"/>
    </row>
    <row r="97" spans="1:29" ht="14.25" x14ac:dyDescent="0.2">
      <c r="A97" s="443" t="s">
        <v>28</v>
      </c>
      <c r="B97" s="443"/>
      <c r="C97" s="443"/>
      <c r="D97" s="443"/>
      <c r="E97" s="25"/>
      <c r="F97" s="16">
        <f>SUM(G97:I97)</f>
        <v>15025.5</v>
      </c>
      <c r="G97" s="16"/>
      <c r="H97" s="16">
        <f>H89</f>
        <v>1997.9</v>
      </c>
      <c r="I97" s="16">
        <f>I89+I96</f>
        <v>13027.6</v>
      </c>
      <c r="J97" s="26"/>
      <c r="K97" s="25"/>
    </row>
    <row r="98" spans="1:29" ht="15" x14ac:dyDescent="0.25">
      <c r="A98" s="237" t="s">
        <v>29</v>
      </c>
      <c r="B98" s="444"/>
      <c r="C98" s="444"/>
      <c r="D98" s="444"/>
      <c r="E98" s="444"/>
      <c r="F98" s="444"/>
      <c r="G98" s="444"/>
      <c r="H98" s="444"/>
      <c r="I98" s="444"/>
      <c r="J98" s="444"/>
      <c r="K98" s="444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4"/>
      <c r="W98" s="34"/>
      <c r="X98" s="34"/>
      <c r="Y98" s="34"/>
      <c r="Z98" s="34"/>
      <c r="AA98" s="34"/>
      <c r="AB98" s="34"/>
      <c r="AC98" s="34"/>
    </row>
    <row r="99" spans="1:29" x14ac:dyDescent="0.2">
      <c r="A99" s="253" t="s">
        <v>284</v>
      </c>
      <c r="B99" s="234" t="s">
        <v>30</v>
      </c>
      <c r="C99" s="228" t="s">
        <v>127</v>
      </c>
      <c r="D99" s="197" t="s">
        <v>218</v>
      </c>
      <c r="E99" s="191">
        <v>2015</v>
      </c>
      <c r="F99" s="14">
        <f t="shared" ref="F99:F105" si="6">SUM(G99:I99)</f>
        <v>600</v>
      </c>
      <c r="G99" s="14"/>
      <c r="H99" s="14"/>
      <c r="I99" s="14">
        <v>600</v>
      </c>
      <c r="J99" s="14"/>
      <c r="K99" s="197" t="s">
        <v>137</v>
      </c>
    </row>
    <row r="100" spans="1:29" x14ac:dyDescent="0.2">
      <c r="A100" s="253"/>
      <c r="B100" s="250"/>
      <c r="C100" s="198"/>
      <c r="D100" s="204"/>
      <c r="E100" s="191">
        <v>2016</v>
      </c>
      <c r="F100" s="14">
        <f t="shared" si="6"/>
        <v>700</v>
      </c>
      <c r="G100" s="14"/>
      <c r="H100" s="14"/>
      <c r="I100" s="14">
        <v>700</v>
      </c>
      <c r="J100" s="14"/>
      <c r="K100" s="204"/>
    </row>
    <row r="101" spans="1:29" x14ac:dyDescent="0.2">
      <c r="A101" s="253"/>
      <c r="B101" s="250"/>
      <c r="C101" s="198"/>
      <c r="D101" s="204"/>
      <c r="E101" s="191">
        <v>2017</v>
      </c>
      <c r="F101" s="14">
        <f t="shared" si="6"/>
        <v>0</v>
      </c>
      <c r="G101" s="14"/>
      <c r="H101" s="14"/>
      <c r="I101" s="14">
        <v>0</v>
      </c>
      <c r="J101" s="14"/>
      <c r="K101" s="204"/>
    </row>
    <row r="102" spans="1:29" x14ac:dyDescent="0.2">
      <c r="A102" s="253"/>
      <c r="B102" s="250"/>
      <c r="C102" s="198"/>
      <c r="D102" s="204"/>
      <c r="E102" s="191">
        <v>2018</v>
      </c>
      <c r="F102" s="14">
        <f t="shared" si="6"/>
        <v>0</v>
      </c>
      <c r="G102" s="14"/>
      <c r="H102" s="14"/>
      <c r="I102" s="14">
        <f>900-900</f>
        <v>0</v>
      </c>
      <c r="J102" s="14"/>
      <c r="K102" s="204"/>
      <c r="L102" s="123"/>
      <c r="M102" s="123"/>
    </row>
    <row r="103" spans="1:29" x14ac:dyDescent="0.2">
      <c r="A103" s="253"/>
      <c r="B103" s="250"/>
      <c r="C103" s="198"/>
      <c r="D103" s="204"/>
      <c r="E103" s="191">
        <v>2019</v>
      </c>
      <c r="F103" s="14">
        <v>0</v>
      </c>
      <c r="G103" s="14"/>
      <c r="H103" s="14"/>
      <c r="I103" s="14">
        <f>1000-1000</f>
        <v>0</v>
      </c>
      <c r="J103" s="14"/>
      <c r="K103" s="204"/>
      <c r="L103" s="123"/>
    </row>
    <row r="104" spans="1:29" x14ac:dyDescent="0.2">
      <c r="A104" s="253"/>
      <c r="B104" s="250"/>
      <c r="C104" s="198"/>
      <c r="D104" s="204"/>
      <c r="E104" s="191">
        <v>2020</v>
      </c>
      <c r="F104" s="14">
        <f t="shared" si="6"/>
        <v>1000</v>
      </c>
      <c r="G104" s="14"/>
      <c r="H104" s="14"/>
      <c r="I104" s="14">
        <v>1000</v>
      </c>
      <c r="J104" s="14"/>
      <c r="K104" s="204"/>
    </row>
    <row r="105" spans="1:29" x14ac:dyDescent="0.2">
      <c r="A105" s="253"/>
      <c r="B105" s="251"/>
      <c r="C105" s="199"/>
      <c r="D105" s="205"/>
      <c r="E105" s="24" t="s">
        <v>18</v>
      </c>
      <c r="F105" s="13">
        <f t="shared" si="6"/>
        <v>2300</v>
      </c>
      <c r="G105" s="13"/>
      <c r="H105" s="13"/>
      <c r="I105" s="13">
        <f>SUM(I99:I104)</f>
        <v>2300</v>
      </c>
      <c r="J105" s="14"/>
      <c r="K105" s="205"/>
    </row>
    <row r="106" spans="1:29" ht="14.25" x14ac:dyDescent="0.2">
      <c r="A106" s="288" t="s">
        <v>31</v>
      </c>
      <c r="B106" s="442"/>
      <c r="C106" s="442"/>
      <c r="D106" s="288"/>
      <c r="E106" s="288"/>
      <c r="F106" s="288"/>
      <c r="G106" s="288"/>
      <c r="H106" s="288"/>
      <c r="I106" s="288"/>
      <c r="J106" s="288"/>
      <c r="K106" s="288"/>
    </row>
    <row r="107" spans="1:29" x14ac:dyDescent="0.2">
      <c r="A107" s="253" t="s">
        <v>285</v>
      </c>
      <c r="B107" s="261" t="s">
        <v>32</v>
      </c>
      <c r="C107" s="228" t="s">
        <v>127</v>
      </c>
      <c r="D107" s="197" t="s">
        <v>218</v>
      </c>
      <c r="E107" s="191">
        <v>2015</v>
      </c>
      <c r="F107" s="14">
        <f t="shared" ref="F107:F112" si="7">SUM(G107:I107)</f>
        <v>0</v>
      </c>
      <c r="G107" s="14"/>
      <c r="H107" s="14"/>
      <c r="I107" s="14">
        <v>0</v>
      </c>
      <c r="J107" s="14"/>
      <c r="K107" s="197" t="s">
        <v>137</v>
      </c>
    </row>
    <row r="108" spans="1:29" x14ac:dyDescent="0.2">
      <c r="A108" s="253"/>
      <c r="B108" s="262"/>
      <c r="C108" s="198"/>
      <c r="D108" s="204"/>
      <c r="E108" s="191">
        <v>2016</v>
      </c>
      <c r="F108" s="14">
        <f t="shared" si="7"/>
        <v>0</v>
      </c>
      <c r="G108" s="14"/>
      <c r="H108" s="14"/>
      <c r="I108" s="14">
        <v>0</v>
      </c>
      <c r="J108" s="14"/>
      <c r="K108" s="204"/>
    </row>
    <row r="109" spans="1:29" x14ac:dyDescent="0.2">
      <c r="A109" s="253"/>
      <c r="B109" s="262"/>
      <c r="C109" s="198"/>
      <c r="D109" s="204"/>
      <c r="E109" s="191">
        <v>2017</v>
      </c>
      <c r="F109" s="14">
        <f t="shared" si="7"/>
        <v>0</v>
      </c>
      <c r="G109" s="14"/>
      <c r="H109" s="14"/>
      <c r="I109" s="14">
        <v>0</v>
      </c>
      <c r="J109" s="14"/>
      <c r="K109" s="204"/>
    </row>
    <row r="110" spans="1:29" x14ac:dyDescent="0.2">
      <c r="A110" s="253"/>
      <c r="B110" s="262"/>
      <c r="C110" s="198"/>
      <c r="D110" s="204"/>
      <c r="E110" s="191">
        <v>2018</v>
      </c>
      <c r="F110" s="14">
        <f t="shared" si="7"/>
        <v>0</v>
      </c>
      <c r="G110" s="14"/>
      <c r="H110" s="14"/>
      <c r="I110" s="14">
        <f>176.7-176.7</f>
        <v>0</v>
      </c>
      <c r="J110" s="14"/>
      <c r="K110" s="204"/>
      <c r="L110" s="123"/>
      <c r="M110" s="123"/>
    </row>
    <row r="111" spans="1:29" x14ac:dyDescent="0.2">
      <c r="A111" s="253"/>
      <c r="B111" s="262"/>
      <c r="C111" s="198"/>
      <c r="D111" s="204"/>
      <c r="E111" s="191">
        <v>2019</v>
      </c>
      <c r="F111" s="14">
        <f t="shared" si="7"/>
        <v>0</v>
      </c>
      <c r="G111" s="14"/>
      <c r="H111" s="14"/>
      <c r="I111" s="14">
        <f>202-202</f>
        <v>0</v>
      </c>
      <c r="J111" s="14"/>
      <c r="K111" s="204"/>
      <c r="L111" s="123"/>
      <c r="M111" s="152"/>
      <c r="N111" s="123"/>
    </row>
    <row r="112" spans="1:29" x14ac:dyDescent="0.2">
      <c r="A112" s="253"/>
      <c r="B112" s="262"/>
      <c r="C112" s="198"/>
      <c r="D112" s="204"/>
      <c r="E112" s="191">
        <v>2020</v>
      </c>
      <c r="F112" s="14">
        <f t="shared" si="7"/>
        <v>230.6</v>
      </c>
      <c r="G112" s="14"/>
      <c r="H112" s="14"/>
      <c r="I112" s="14">
        <v>230.6</v>
      </c>
      <c r="J112" s="14"/>
      <c r="K112" s="204"/>
      <c r="L112" s="123"/>
    </row>
    <row r="113" spans="1:36" x14ac:dyDescent="0.2">
      <c r="A113" s="253"/>
      <c r="B113" s="262"/>
      <c r="C113" s="199"/>
      <c r="D113" s="205"/>
      <c r="E113" s="24" t="s">
        <v>18</v>
      </c>
      <c r="F113" s="13">
        <f>SUM(F107:F112)</f>
        <v>230.6</v>
      </c>
      <c r="G113" s="13"/>
      <c r="H113" s="13"/>
      <c r="I113" s="13">
        <f>SUM(I107:I112)</f>
        <v>230.6</v>
      </c>
      <c r="J113" s="14"/>
      <c r="K113" s="205"/>
      <c r="P113" s="123"/>
    </row>
    <row r="114" spans="1:36" ht="20.25" customHeight="1" x14ac:dyDescent="0.25">
      <c r="A114" s="445" t="s">
        <v>204</v>
      </c>
      <c r="B114" s="446"/>
      <c r="C114" s="447"/>
      <c r="D114" s="448"/>
      <c r="E114" s="40"/>
      <c r="F114" s="16">
        <f>SUM(G114:I114)</f>
        <v>312694.69999999995</v>
      </c>
      <c r="G114" s="16"/>
      <c r="H114" s="16">
        <f>H113+H105+H97+H81+H53+H30</f>
        <v>151270.29999999999</v>
      </c>
      <c r="I114" s="16">
        <f>I113+I105+I97+I81+I53+I30</f>
        <v>161424.4</v>
      </c>
      <c r="J114" s="27"/>
      <c r="K114" s="40"/>
      <c r="L114" s="142"/>
      <c r="M114" s="123"/>
      <c r="N114" s="142"/>
      <c r="O114" s="143"/>
      <c r="P114" s="169"/>
      <c r="Q114" s="143"/>
      <c r="R114" s="132"/>
    </row>
    <row r="115" spans="1:36" ht="16.5" thickBot="1" x14ac:dyDescent="0.3">
      <c r="A115" s="449" t="s">
        <v>186</v>
      </c>
      <c r="B115" s="450"/>
      <c r="C115" s="450"/>
      <c r="D115" s="450"/>
      <c r="E115" s="450"/>
      <c r="F115" s="450"/>
      <c r="G115" s="450"/>
      <c r="H115" s="450"/>
      <c r="I115" s="450"/>
      <c r="J115" s="450"/>
      <c r="K115" s="450"/>
      <c r="L115" s="145"/>
      <c r="M115" s="145"/>
      <c r="N115" s="34"/>
      <c r="O115" s="34"/>
      <c r="P115" s="34"/>
      <c r="Q115" s="34"/>
      <c r="R115" s="145"/>
      <c r="S115" s="145"/>
      <c r="T115" s="145"/>
      <c r="U115" s="145"/>
      <c r="V115" s="145"/>
      <c r="W115" s="144"/>
      <c r="X115" s="181"/>
      <c r="Y115" s="181"/>
      <c r="Z115" s="181"/>
      <c r="AA115" s="181"/>
      <c r="AB115" s="181"/>
      <c r="AC115" s="181"/>
      <c r="AD115" s="181"/>
      <c r="AE115" s="181"/>
      <c r="AF115" s="181"/>
      <c r="AG115" s="181"/>
      <c r="AH115" s="181"/>
      <c r="AI115" s="181"/>
      <c r="AJ115" s="181"/>
    </row>
    <row r="116" spans="1:36" ht="44.25" customHeight="1" thickBot="1" x14ac:dyDescent="0.25">
      <c r="A116" s="302" t="s">
        <v>235</v>
      </c>
      <c r="B116" s="434"/>
      <c r="C116" s="434"/>
      <c r="D116" s="434"/>
      <c r="E116" s="434"/>
      <c r="F116" s="434"/>
      <c r="G116" s="434"/>
      <c r="H116" s="434"/>
      <c r="I116" s="434"/>
      <c r="J116" s="434"/>
      <c r="K116" s="435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</row>
    <row r="117" spans="1:36" x14ac:dyDescent="0.2">
      <c r="A117" s="253" t="s">
        <v>64</v>
      </c>
      <c r="B117" s="436" t="s">
        <v>33</v>
      </c>
      <c r="C117" s="438" t="s">
        <v>127</v>
      </c>
      <c r="D117" s="440" t="s">
        <v>411</v>
      </c>
      <c r="E117" s="191">
        <v>2015</v>
      </c>
      <c r="F117" s="191"/>
      <c r="G117" s="191"/>
      <c r="H117" s="191"/>
      <c r="I117" s="191"/>
      <c r="J117" s="191"/>
      <c r="K117" s="325" t="s">
        <v>34</v>
      </c>
    </row>
    <row r="118" spans="1:36" x14ac:dyDescent="0.2">
      <c r="A118" s="253"/>
      <c r="B118" s="437"/>
      <c r="C118" s="439"/>
      <c r="D118" s="441"/>
      <c r="E118" s="191">
        <v>2016</v>
      </c>
      <c r="F118" s="191"/>
      <c r="G118" s="191"/>
      <c r="H118" s="191"/>
      <c r="I118" s="191"/>
      <c r="J118" s="191"/>
      <c r="K118" s="204"/>
    </row>
    <row r="119" spans="1:36" x14ac:dyDescent="0.2">
      <c r="A119" s="253"/>
      <c r="B119" s="437"/>
      <c r="C119" s="439"/>
      <c r="D119" s="441"/>
      <c r="E119" s="191">
        <v>2017</v>
      </c>
      <c r="F119" s="191"/>
      <c r="G119" s="191"/>
      <c r="H119" s="191"/>
      <c r="I119" s="191"/>
      <c r="J119" s="191"/>
      <c r="K119" s="204"/>
      <c r="L119" s="123"/>
    </row>
    <row r="120" spans="1:36" x14ac:dyDescent="0.2">
      <c r="A120" s="253"/>
      <c r="B120" s="437"/>
      <c r="C120" s="439"/>
      <c r="D120" s="441"/>
      <c r="E120" s="191">
        <v>2018</v>
      </c>
      <c r="F120" s="191"/>
      <c r="G120" s="191"/>
      <c r="H120" s="191"/>
      <c r="I120" s="191"/>
      <c r="J120" s="191"/>
      <c r="K120" s="204"/>
    </row>
    <row r="121" spans="1:36" x14ac:dyDescent="0.2">
      <c r="A121" s="253"/>
      <c r="B121" s="437"/>
      <c r="C121" s="439"/>
      <c r="D121" s="441"/>
      <c r="E121" s="191">
        <v>2019</v>
      </c>
      <c r="F121" s="191"/>
      <c r="G121" s="191"/>
      <c r="H121" s="191"/>
      <c r="I121" s="191"/>
      <c r="J121" s="191"/>
      <c r="K121" s="204"/>
    </row>
    <row r="122" spans="1:36" x14ac:dyDescent="0.2">
      <c r="A122" s="253"/>
      <c r="B122" s="437"/>
      <c r="C122" s="439"/>
      <c r="D122" s="441"/>
      <c r="E122" s="191">
        <v>2020</v>
      </c>
      <c r="F122" s="191"/>
      <c r="G122" s="191"/>
      <c r="H122" s="191"/>
      <c r="I122" s="191"/>
      <c r="J122" s="191"/>
      <c r="K122" s="204"/>
    </row>
    <row r="123" spans="1:36" ht="21.75" customHeight="1" x14ac:dyDescent="0.2">
      <c r="A123" s="254"/>
      <c r="B123" s="437"/>
      <c r="C123" s="439"/>
      <c r="D123" s="441"/>
      <c r="E123" s="32" t="s">
        <v>18</v>
      </c>
      <c r="F123" s="186"/>
      <c r="G123" s="186"/>
      <c r="H123" s="186"/>
      <c r="I123" s="186"/>
      <c r="J123" s="186"/>
      <c r="K123" s="205"/>
    </row>
    <row r="124" spans="1:36" ht="18" customHeight="1" x14ac:dyDescent="0.2">
      <c r="A124" s="363" t="s">
        <v>207</v>
      </c>
      <c r="B124" s="400"/>
      <c r="C124" s="400"/>
      <c r="D124" s="400"/>
      <c r="E124" s="401"/>
      <c r="F124" s="430" t="s">
        <v>35</v>
      </c>
      <c r="G124" s="431"/>
      <c r="H124" s="431"/>
      <c r="I124" s="431"/>
      <c r="J124" s="432"/>
      <c r="K124" s="107"/>
    </row>
    <row r="125" spans="1:36" x14ac:dyDescent="0.2">
      <c r="A125" s="309" t="s">
        <v>36</v>
      </c>
      <c r="B125" s="433"/>
      <c r="C125" s="433"/>
      <c r="D125" s="433"/>
      <c r="E125" s="433"/>
      <c r="F125" s="433"/>
      <c r="G125" s="433"/>
      <c r="H125" s="433"/>
      <c r="I125" s="433"/>
      <c r="J125" s="433"/>
      <c r="K125" s="433"/>
    </row>
    <row r="126" spans="1:36" ht="31.5" customHeight="1" x14ac:dyDescent="0.2">
      <c r="A126" s="328" t="s">
        <v>37</v>
      </c>
      <c r="B126" s="323"/>
      <c r="C126" s="323"/>
      <c r="D126" s="323"/>
      <c r="E126" s="323"/>
      <c r="F126" s="323"/>
      <c r="G126" s="323"/>
      <c r="H126" s="323"/>
      <c r="I126" s="323"/>
      <c r="J126" s="323"/>
      <c r="K126" s="323"/>
      <c r="L126" s="196"/>
      <c r="M126" s="196"/>
      <c r="N126" s="196"/>
      <c r="O126" s="196"/>
      <c r="P126" s="196"/>
      <c r="Q126" s="196"/>
      <c r="R126" s="196"/>
      <c r="S126" s="196"/>
      <c r="T126" s="196"/>
      <c r="U126" s="196"/>
      <c r="V126" s="196"/>
      <c r="W126" s="196"/>
      <c r="X126" s="196"/>
      <c r="Y126" s="196"/>
      <c r="Z126" s="196"/>
      <c r="AA126" s="196"/>
      <c r="AB126" s="196"/>
      <c r="AC126" s="196"/>
      <c r="AD126" s="196"/>
      <c r="AE126" s="196"/>
      <c r="AF126" s="196"/>
      <c r="AG126" s="196"/>
      <c r="AH126" s="196"/>
      <c r="AI126" s="196"/>
      <c r="AJ126" s="196"/>
    </row>
    <row r="127" spans="1:36" x14ac:dyDescent="0.2">
      <c r="A127" s="252" t="s">
        <v>93</v>
      </c>
      <c r="B127" s="427" t="s">
        <v>38</v>
      </c>
      <c r="C127" s="202" t="s">
        <v>127</v>
      </c>
      <c r="D127" s="338" t="s">
        <v>218</v>
      </c>
      <c r="E127" s="187">
        <v>2015</v>
      </c>
      <c r="F127" s="187"/>
      <c r="G127" s="187"/>
      <c r="H127" s="187"/>
      <c r="I127" s="187"/>
      <c r="J127" s="187"/>
      <c r="K127" s="197" t="s">
        <v>39</v>
      </c>
    </row>
    <row r="128" spans="1:36" x14ac:dyDescent="0.2">
      <c r="A128" s="253"/>
      <c r="B128" s="323"/>
      <c r="C128" s="203"/>
      <c r="D128" s="338"/>
      <c r="E128" s="191">
        <v>2016</v>
      </c>
      <c r="F128" s="191"/>
      <c r="G128" s="191"/>
      <c r="H128" s="191"/>
      <c r="I128" s="191"/>
      <c r="J128" s="191"/>
      <c r="K128" s="204"/>
      <c r="L128" s="123"/>
    </row>
    <row r="129" spans="1:36" x14ac:dyDescent="0.2">
      <c r="A129" s="253"/>
      <c r="B129" s="323"/>
      <c r="C129" s="203"/>
      <c r="D129" s="338"/>
      <c r="E129" s="191">
        <v>2017</v>
      </c>
      <c r="F129" s="191"/>
      <c r="G129" s="191"/>
      <c r="H129" s="191"/>
      <c r="I129" s="191"/>
      <c r="J129" s="191"/>
      <c r="K129" s="204"/>
    </row>
    <row r="130" spans="1:36" x14ac:dyDescent="0.2">
      <c r="A130" s="253"/>
      <c r="B130" s="323"/>
      <c r="C130" s="203"/>
      <c r="D130" s="338"/>
      <c r="E130" s="191">
        <v>2018</v>
      </c>
      <c r="F130" s="191"/>
      <c r="G130" s="191"/>
      <c r="H130" s="191"/>
      <c r="I130" s="191"/>
      <c r="J130" s="191"/>
      <c r="K130" s="204"/>
    </row>
    <row r="131" spans="1:36" x14ac:dyDescent="0.2">
      <c r="A131" s="253"/>
      <c r="B131" s="323"/>
      <c r="C131" s="203"/>
      <c r="D131" s="338"/>
      <c r="E131" s="191">
        <v>2019</v>
      </c>
      <c r="F131" s="191"/>
      <c r="G131" s="191"/>
      <c r="H131" s="191"/>
      <c r="I131" s="191"/>
      <c r="J131" s="191"/>
      <c r="K131" s="204"/>
    </row>
    <row r="132" spans="1:36" x14ac:dyDescent="0.2">
      <c r="A132" s="253"/>
      <c r="B132" s="323"/>
      <c r="C132" s="203"/>
      <c r="D132" s="338"/>
      <c r="E132" s="191">
        <v>2020</v>
      </c>
      <c r="F132" s="191"/>
      <c r="G132" s="191"/>
      <c r="H132" s="191"/>
      <c r="I132" s="191"/>
      <c r="J132" s="191"/>
      <c r="K132" s="204"/>
    </row>
    <row r="133" spans="1:36" ht="30" customHeight="1" x14ac:dyDescent="0.2">
      <c r="A133" s="253"/>
      <c r="B133" s="323"/>
      <c r="C133" s="203"/>
      <c r="D133" s="338"/>
      <c r="E133" s="24" t="s">
        <v>18</v>
      </c>
      <c r="F133" s="191"/>
      <c r="G133" s="191"/>
      <c r="H133" s="191"/>
      <c r="I133" s="191"/>
      <c r="J133" s="191"/>
      <c r="K133" s="205"/>
    </row>
    <row r="134" spans="1:36" x14ac:dyDescent="0.2">
      <c r="A134" s="253" t="s">
        <v>67</v>
      </c>
      <c r="B134" s="244" t="s">
        <v>40</v>
      </c>
      <c r="C134" s="202" t="s">
        <v>127</v>
      </c>
      <c r="D134" s="338" t="s">
        <v>218</v>
      </c>
      <c r="E134" s="191">
        <v>2015</v>
      </c>
      <c r="F134" s="191"/>
      <c r="G134" s="191"/>
      <c r="H134" s="191"/>
      <c r="I134" s="191"/>
      <c r="J134" s="191"/>
      <c r="K134" s="197" t="s">
        <v>41</v>
      </c>
    </row>
    <row r="135" spans="1:36" x14ac:dyDescent="0.2">
      <c r="A135" s="253"/>
      <c r="B135" s="323"/>
      <c r="C135" s="203"/>
      <c r="D135" s="338"/>
      <c r="E135" s="191">
        <v>2016</v>
      </c>
      <c r="F135" s="191"/>
      <c r="G135" s="191"/>
      <c r="H135" s="191"/>
      <c r="I135" s="191"/>
      <c r="J135" s="191"/>
      <c r="K135" s="204"/>
      <c r="L135" s="123"/>
    </row>
    <row r="136" spans="1:36" x14ac:dyDescent="0.2">
      <c r="A136" s="253"/>
      <c r="B136" s="323"/>
      <c r="C136" s="203"/>
      <c r="D136" s="338"/>
      <c r="E136" s="191">
        <v>2017</v>
      </c>
      <c r="F136" s="191"/>
      <c r="G136" s="191"/>
      <c r="H136" s="191"/>
      <c r="I136" s="191"/>
      <c r="J136" s="191"/>
      <c r="K136" s="204"/>
    </row>
    <row r="137" spans="1:36" x14ac:dyDescent="0.2">
      <c r="A137" s="253"/>
      <c r="B137" s="323"/>
      <c r="C137" s="203"/>
      <c r="D137" s="338"/>
      <c r="E137" s="191">
        <v>2018</v>
      </c>
      <c r="F137" s="191"/>
      <c r="G137" s="191"/>
      <c r="H137" s="191"/>
      <c r="I137" s="191"/>
      <c r="J137" s="191"/>
      <c r="K137" s="204"/>
    </row>
    <row r="138" spans="1:36" x14ac:dyDescent="0.2">
      <c r="A138" s="253"/>
      <c r="B138" s="323"/>
      <c r="C138" s="203"/>
      <c r="D138" s="338"/>
      <c r="E138" s="191">
        <v>2019</v>
      </c>
      <c r="F138" s="191"/>
      <c r="G138" s="191"/>
      <c r="H138" s="191"/>
      <c r="I138" s="191"/>
      <c r="J138" s="191"/>
      <c r="K138" s="204"/>
    </row>
    <row r="139" spans="1:36" x14ac:dyDescent="0.2">
      <c r="A139" s="253"/>
      <c r="B139" s="323"/>
      <c r="C139" s="203"/>
      <c r="D139" s="338"/>
      <c r="E139" s="191">
        <v>2020</v>
      </c>
      <c r="F139" s="191"/>
      <c r="G139" s="191"/>
      <c r="H139" s="191"/>
      <c r="I139" s="191"/>
      <c r="J139" s="191"/>
      <c r="K139" s="204"/>
    </row>
    <row r="140" spans="1:36" ht="58.5" customHeight="1" x14ac:dyDescent="0.2">
      <c r="A140" s="254"/>
      <c r="B140" s="310"/>
      <c r="C140" s="203"/>
      <c r="D140" s="338"/>
      <c r="E140" s="32" t="s">
        <v>18</v>
      </c>
      <c r="F140" s="186"/>
      <c r="G140" s="186"/>
      <c r="H140" s="186"/>
      <c r="I140" s="186"/>
      <c r="J140" s="186"/>
      <c r="K140" s="205"/>
    </row>
    <row r="141" spans="1:36" ht="32.25" customHeight="1" x14ac:dyDescent="0.2">
      <c r="A141" s="328" t="s">
        <v>42</v>
      </c>
      <c r="B141" s="323"/>
      <c r="C141" s="323"/>
      <c r="D141" s="323"/>
      <c r="E141" s="323"/>
      <c r="F141" s="323"/>
      <c r="G141" s="323"/>
      <c r="H141" s="323"/>
      <c r="I141" s="323"/>
      <c r="J141" s="323"/>
      <c r="K141" s="323"/>
      <c r="L141" s="196"/>
      <c r="M141" s="196"/>
      <c r="N141" s="196"/>
      <c r="O141" s="196"/>
      <c r="P141" s="196"/>
      <c r="Q141" s="196"/>
      <c r="R141" s="196"/>
      <c r="S141" s="196"/>
      <c r="T141" s="196"/>
      <c r="U141" s="196"/>
      <c r="V141" s="196"/>
      <c r="W141" s="196"/>
      <c r="X141" s="196"/>
      <c r="Y141" s="196"/>
      <c r="Z141" s="196"/>
      <c r="AA141" s="196"/>
      <c r="AB141" s="196"/>
      <c r="AC141" s="196"/>
      <c r="AD141" s="196"/>
      <c r="AE141" s="196"/>
      <c r="AF141" s="196"/>
      <c r="AG141" s="196"/>
      <c r="AH141" s="196"/>
      <c r="AI141" s="196"/>
      <c r="AJ141" s="196"/>
    </row>
    <row r="142" spans="1:36" ht="15" x14ac:dyDescent="0.25">
      <c r="A142" s="328" t="s">
        <v>131</v>
      </c>
      <c r="B142" s="428"/>
      <c r="C142" s="429"/>
      <c r="D142" s="428"/>
      <c r="E142" s="428"/>
      <c r="F142" s="428"/>
      <c r="G142" s="428"/>
      <c r="H142" s="428"/>
      <c r="I142" s="428"/>
      <c r="J142" s="428"/>
      <c r="K142" s="428"/>
      <c r="L142" s="33"/>
      <c r="M142" s="33"/>
      <c r="N142" s="33"/>
      <c r="O142" s="33"/>
      <c r="P142" s="33"/>
      <c r="Q142" s="33"/>
      <c r="R142" s="33"/>
      <c r="S142" s="33"/>
      <c r="T142" s="33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33"/>
      <c r="AJ142" s="33"/>
    </row>
    <row r="143" spans="1:36" x14ac:dyDescent="0.2">
      <c r="A143" s="260" t="s">
        <v>286</v>
      </c>
      <c r="B143" s="261" t="s">
        <v>44</v>
      </c>
      <c r="C143" s="202" t="s">
        <v>127</v>
      </c>
      <c r="D143" s="405" t="s">
        <v>218</v>
      </c>
      <c r="E143" s="191">
        <v>2015</v>
      </c>
      <c r="F143" s="14">
        <f t="shared" ref="F143:F148" si="8">SUM(G143:J143)</f>
        <v>289323.7</v>
      </c>
      <c r="G143" s="14"/>
      <c r="H143" s="14">
        <f>313444.2-24120.5</f>
        <v>289323.7</v>
      </c>
      <c r="I143" s="14"/>
      <c r="J143" s="14"/>
      <c r="K143" s="197" t="s">
        <v>45</v>
      </c>
    </row>
    <row r="144" spans="1:36" x14ac:dyDescent="0.2">
      <c r="A144" s="260"/>
      <c r="B144" s="262"/>
      <c r="C144" s="203"/>
      <c r="D144" s="406"/>
      <c r="E144" s="191">
        <v>2016</v>
      </c>
      <c r="F144" s="14">
        <f t="shared" si="8"/>
        <v>292770.7</v>
      </c>
      <c r="G144" s="14"/>
      <c r="H144" s="14">
        <f>321212.7-28442</f>
        <v>292770.7</v>
      </c>
      <c r="I144" s="14"/>
      <c r="J144" s="14"/>
      <c r="K144" s="204"/>
      <c r="M144" s="123"/>
    </row>
    <row r="145" spans="1:14" x14ac:dyDescent="0.2">
      <c r="A145" s="260"/>
      <c r="B145" s="262"/>
      <c r="C145" s="203"/>
      <c r="D145" s="406"/>
      <c r="E145" s="191">
        <v>2017</v>
      </c>
      <c r="F145" s="14">
        <f t="shared" si="8"/>
        <v>298831.10000000003</v>
      </c>
      <c r="G145" s="14"/>
      <c r="H145" s="14">
        <f>298171.7+659.4</f>
        <v>298831.10000000003</v>
      </c>
      <c r="I145" s="14"/>
      <c r="J145" s="14"/>
      <c r="K145" s="204"/>
      <c r="L145" s="123"/>
      <c r="M145" s="130"/>
    </row>
    <row r="146" spans="1:14" x14ac:dyDescent="0.2">
      <c r="A146" s="260"/>
      <c r="B146" s="262"/>
      <c r="C146" s="203"/>
      <c r="D146" s="406"/>
      <c r="E146" s="191">
        <v>2018</v>
      </c>
      <c r="F146" s="14">
        <f t="shared" si="8"/>
        <v>258136.49999999997</v>
      </c>
      <c r="G146" s="14"/>
      <c r="H146" s="14">
        <f>291795.6-33659.1</f>
        <v>258136.49999999997</v>
      </c>
      <c r="I146" s="14"/>
      <c r="J146" s="14"/>
      <c r="K146" s="204"/>
      <c r="L146" s="123"/>
      <c r="M146" s="130"/>
    </row>
    <row r="147" spans="1:14" x14ac:dyDescent="0.2">
      <c r="A147" s="260"/>
      <c r="B147" s="262"/>
      <c r="C147" s="203"/>
      <c r="D147" s="406"/>
      <c r="E147" s="191">
        <v>2019</v>
      </c>
      <c r="F147" s="14">
        <f t="shared" si="8"/>
        <v>258169.50000000003</v>
      </c>
      <c r="G147" s="14"/>
      <c r="H147" s="14">
        <f>306971.4-48801.9</f>
        <v>258169.50000000003</v>
      </c>
      <c r="I147" s="14"/>
      <c r="J147" s="14"/>
      <c r="K147" s="204"/>
      <c r="L147" s="123"/>
      <c r="M147" s="130"/>
    </row>
    <row r="148" spans="1:14" x14ac:dyDescent="0.2">
      <c r="A148" s="260"/>
      <c r="B148" s="262"/>
      <c r="C148" s="203"/>
      <c r="D148" s="406"/>
      <c r="E148" s="191">
        <v>2020</v>
      </c>
      <c r="F148" s="14">
        <f t="shared" si="8"/>
        <v>324467.09999999998</v>
      </c>
      <c r="G148" s="14"/>
      <c r="H148" s="14">
        <v>324467.09999999998</v>
      </c>
      <c r="I148" s="14"/>
      <c r="J148" s="14"/>
      <c r="K148" s="204"/>
    </row>
    <row r="149" spans="1:14" ht="26.25" customHeight="1" x14ac:dyDescent="0.2">
      <c r="A149" s="260"/>
      <c r="B149" s="262"/>
      <c r="C149" s="203"/>
      <c r="D149" s="407"/>
      <c r="E149" s="24" t="s">
        <v>18</v>
      </c>
      <c r="F149" s="13">
        <f>SUM(F143:F148)</f>
        <v>1721698.6</v>
      </c>
      <c r="G149" s="13"/>
      <c r="H149" s="13">
        <f>SUM(H143:H148)</f>
        <v>1721698.6</v>
      </c>
      <c r="I149" s="13"/>
      <c r="J149" s="13"/>
      <c r="K149" s="204"/>
    </row>
    <row r="150" spans="1:14" x14ac:dyDescent="0.2">
      <c r="A150" s="260" t="s">
        <v>46</v>
      </c>
      <c r="B150" s="261" t="s">
        <v>47</v>
      </c>
      <c r="C150" s="202" t="s">
        <v>127</v>
      </c>
      <c r="D150" s="405" t="s">
        <v>218</v>
      </c>
      <c r="E150" s="191">
        <v>2015</v>
      </c>
      <c r="F150" s="14">
        <f t="shared" ref="F150:F155" si="9">SUM(G150:J150)</f>
        <v>51438.500000000007</v>
      </c>
      <c r="G150" s="14"/>
      <c r="H150" s="14"/>
      <c r="I150" s="14">
        <f>54650+6257.8-2384.6-2000-2408.2-401.3-516.2-1759</f>
        <v>51438.500000000007</v>
      </c>
      <c r="J150" s="14"/>
      <c r="K150" s="204"/>
    </row>
    <row r="151" spans="1:14" x14ac:dyDescent="0.2">
      <c r="A151" s="260"/>
      <c r="B151" s="262"/>
      <c r="C151" s="203"/>
      <c r="D151" s="406"/>
      <c r="E151" s="191">
        <v>2016</v>
      </c>
      <c r="F151" s="14">
        <f t="shared" si="9"/>
        <v>51482.5</v>
      </c>
      <c r="G151" s="14"/>
      <c r="H151" s="14"/>
      <c r="I151" s="14">
        <f>57382.5-5400-500</f>
        <v>51482.5</v>
      </c>
      <c r="J151" s="14"/>
      <c r="K151" s="204"/>
    </row>
    <row r="152" spans="1:14" x14ac:dyDescent="0.2">
      <c r="A152" s="260"/>
      <c r="B152" s="262"/>
      <c r="C152" s="203"/>
      <c r="D152" s="406"/>
      <c r="E152" s="191">
        <v>2017</v>
      </c>
      <c r="F152" s="14">
        <f t="shared" si="9"/>
        <v>51797.700000000004</v>
      </c>
      <c r="G152" s="14"/>
      <c r="H152" s="14"/>
      <c r="I152" s="14">
        <f>48417.9+4379.8-1000</f>
        <v>51797.700000000004</v>
      </c>
      <c r="J152" s="14"/>
      <c r="K152" s="204"/>
      <c r="L152" s="123">
        <v>4379.8</v>
      </c>
      <c r="M152" s="130" t="s">
        <v>337</v>
      </c>
      <c r="N152" s="123"/>
    </row>
    <row r="153" spans="1:14" x14ac:dyDescent="0.2">
      <c r="A153" s="260"/>
      <c r="B153" s="262"/>
      <c r="C153" s="203"/>
      <c r="D153" s="406"/>
      <c r="E153" s="191">
        <v>2018</v>
      </c>
      <c r="F153" s="14">
        <f t="shared" si="9"/>
        <v>53382.5</v>
      </c>
      <c r="G153" s="14"/>
      <c r="H153" s="14"/>
      <c r="I153" s="14">
        <f>61079.4-7696.9</f>
        <v>53382.5</v>
      </c>
      <c r="J153" s="14"/>
      <c r="K153" s="204"/>
      <c r="L153" s="123"/>
      <c r="M153" s="130"/>
    </row>
    <row r="154" spans="1:14" x14ac:dyDescent="0.2">
      <c r="A154" s="260"/>
      <c r="B154" s="262"/>
      <c r="C154" s="203"/>
      <c r="D154" s="406"/>
      <c r="E154" s="191">
        <v>2019</v>
      </c>
      <c r="F154" s="14">
        <f t="shared" si="9"/>
        <v>53382.5</v>
      </c>
      <c r="G154" s="14"/>
      <c r="H154" s="14"/>
      <c r="I154" s="14">
        <f>64255.5-10873</f>
        <v>53382.5</v>
      </c>
      <c r="J154" s="14"/>
      <c r="K154" s="204"/>
      <c r="L154" s="123"/>
      <c r="M154" s="130"/>
    </row>
    <row r="155" spans="1:14" x14ac:dyDescent="0.2">
      <c r="A155" s="260"/>
      <c r="B155" s="262"/>
      <c r="C155" s="203"/>
      <c r="D155" s="406"/>
      <c r="E155" s="191">
        <v>2020</v>
      </c>
      <c r="F155" s="14">
        <f t="shared" si="9"/>
        <v>67918.100000000006</v>
      </c>
      <c r="G155" s="14"/>
      <c r="H155" s="14"/>
      <c r="I155" s="14">
        <v>67918.100000000006</v>
      </c>
      <c r="J155" s="14"/>
      <c r="K155" s="204"/>
    </row>
    <row r="156" spans="1:14" ht="47.25" customHeight="1" x14ac:dyDescent="0.2">
      <c r="A156" s="260"/>
      <c r="B156" s="262"/>
      <c r="C156" s="203"/>
      <c r="D156" s="407"/>
      <c r="E156" s="24" t="s">
        <v>18</v>
      </c>
      <c r="F156" s="13">
        <f>SUM(F150:F155)</f>
        <v>329401.80000000005</v>
      </c>
      <c r="G156" s="13"/>
      <c r="H156" s="13"/>
      <c r="I156" s="13">
        <f>SUM(I150:I155)</f>
        <v>329401.80000000005</v>
      </c>
      <c r="J156" s="13"/>
      <c r="K156" s="205"/>
    </row>
    <row r="157" spans="1:14" x14ac:dyDescent="0.2">
      <c r="A157" s="253" t="s">
        <v>48</v>
      </c>
      <c r="B157" s="261" t="s">
        <v>49</v>
      </c>
      <c r="C157" s="202" t="s">
        <v>127</v>
      </c>
      <c r="D157" s="405" t="s">
        <v>218</v>
      </c>
      <c r="E157" s="191">
        <v>2015</v>
      </c>
      <c r="F157" s="2"/>
      <c r="G157" s="2"/>
      <c r="H157" s="2"/>
      <c r="I157" s="2"/>
      <c r="J157" s="2"/>
      <c r="K157" s="197" t="s">
        <v>50</v>
      </c>
    </row>
    <row r="158" spans="1:14" x14ac:dyDescent="0.2">
      <c r="A158" s="253"/>
      <c r="B158" s="262"/>
      <c r="C158" s="203"/>
      <c r="D158" s="406"/>
      <c r="E158" s="191">
        <v>2016</v>
      </c>
      <c r="F158" s="2"/>
      <c r="G158" s="2"/>
      <c r="H158" s="2"/>
      <c r="I158" s="2"/>
      <c r="J158" s="2"/>
      <c r="K158" s="204"/>
    </row>
    <row r="159" spans="1:14" x14ac:dyDescent="0.2">
      <c r="A159" s="253"/>
      <c r="B159" s="262"/>
      <c r="C159" s="203"/>
      <c r="D159" s="406"/>
      <c r="E159" s="191">
        <v>2017</v>
      </c>
      <c r="F159" s="2"/>
      <c r="G159" s="2"/>
      <c r="H159" s="2"/>
      <c r="I159" s="2"/>
      <c r="J159" s="2"/>
      <c r="K159" s="204"/>
    </row>
    <row r="160" spans="1:14" x14ac:dyDescent="0.2">
      <c r="A160" s="253"/>
      <c r="B160" s="262"/>
      <c r="C160" s="203"/>
      <c r="D160" s="406"/>
      <c r="E160" s="191">
        <v>2018</v>
      </c>
      <c r="F160" s="2"/>
      <c r="G160" s="2"/>
      <c r="H160" s="2"/>
      <c r="I160" s="2"/>
      <c r="J160" s="2"/>
      <c r="K160" s="204"/>
    </row>
    <row r="161" spans="1:12" x14ac:dyDescent="0.2">
      <c r="A161" s="253"/>
      <c r="B161" s="262"/>
      <c r="C161" s="203"/>
      <c r="D161" s="406"/>
      <c r="E161" s="191">
        <v>2019</v>
      </c>
      <c r="F161" s="2"/>
      <c r="G161" s="2"/>
      <c r="H161" s="2"/>
      <c r="I161" s="2"/>
      <c r="J161" s="2"/>
      <c r="K161" s="204"/>
      <c r="L161" s="123"/>
    </row>
    <row r="162" spans="1:12" x14ac:dyDescent="0.2">
      <c r="A162" s="253"/>
      <c r="B162" s="262"/>
      <c r="C162" s="203"/>
      <c r="D162" s="406"/>
      <c r="E162" s="191">
        <v>2020</v>
      </c>
      <c r="F162" s="2"/>
      <c r="G162" s="2"/>
      <c r="H162" s="2"/>
      <c r="I162" s="2"/>
      <c r="J162" s="2"/>
      <c r="K162" s="204"/>
    </row>
    <row r="163" spans="1:12" ht="92.25" customHeight="1" x14ac:dyDescent="0.2">
      <c r="A163" s="253"/>
      <c r="B163" s="262"/>
      <c r="C163" s="203"/>
      <c r="D163" s="407"/>
      <c r="E163" s="24" t="s">
        <v>18</v>
      </c>
      <c r="F163" s="2"/>
      <c r="G163" s="2"/>
      <c r="H163" s="2"/>
      <c r="I163" s="2"/>
      <c r="J163" s="2"/>
      <c r="K163" s="205"/>
    </row>
    <row r="164" spans="1:12" x14ac:dyDescent="0.2">
      <c r="A164" s="252" t="s">
        <v>287</v>
      </c>
      <c r="B164" s="425" t="s">
        <v>236</v>
      </c>
      <c r="C164" s="202" t="s">
        <v>127</v>
      </c>
      <c r="D164" s="406" t="s">
        <v>218</v>
      </c>
      <c r="E164" s="187">
        <v>2015</v>
      </c>
      <c r="F164" s="1"/>
      <c r="G164" s="1"/>
      <c r="H164" s="1"/>
      <c r="I164" s="1"/>
      <c r="J164" s="1"/>
      <c r="K164" s="204" t="s">
        <v>51</v>
      </c>
    </row>
    <row r="165" spans="1:12" x14ac:dyDescent="0.2">
      <c r="A165" s="253"/>
      <c r="B165" s="425"/>
      <c r="C165" s="203"/>
      <c r="D165" s="406"/>
      <c r="E165" s="191">
        <v>2016</v>
      </c>
      <c r="F165" s="2"/>
      <c r="G165" s="2"/>
      <c r="H165" s="2"/>
      <c r="I165" s="2"/>
      <c r="J165" s="2"/>
      <c r="K165" s="204"/>
    </row>
    <row r="166" spans="1:12" x14ac:dyDescent="0.2">
      <c r="A166" s="253"/>
      <c r="B166" s="425"/>
      <c r="C166" s="203"/>
      <c r="D166" s="406"/>
      <c r="E166" s="191">
        <v>2017</v>
      </c>
      <c r="F166" s="2"/>
      <c r="G166" s="2"/>
      <c r="H166" s="2"/>
      <c r="I166" s="2"/>
      <c r="J166" s="2"/>
      <c r="K166" s="204"/>
      <c r="L166" s="123"/>
    </row>
    <row r="167" spans="1:12" x14ac:dyDescent="0.2">
      <c r="A167" s="253"/>
      <c r="B167" s="425"/>
      <c r="C167" s="203"/>
      <c r="D167" s="406"/>
      <c r="E167" s="191">
        <v>2018</v>
      </c>
      <c r="F167" s="2"/>
      <c r="G167" s="2"/>
      <c r="H167" s="2"/>
      <c r="I167" s="2"/>
      <c r="J167" s="2"/>
      <c r="K167" s="204"/>
    </row>
    <row r="168" spans="1:12" x14ac:dyDescent="0.2">
      <c r="A168" s="253"/>
      <c r="B168" s="425"/>
      <c r="C168" s="203"/>
      <c r="D168" s="406"/>
      <c r="E168" s="191">
        <v>2019</v>
      </c>
      <c r="F168" s="2"/>
      <c r="G168" s="2"/>
      <c r="H168" s="2"/>
      <c r="I168" s="2"/>
      <c r="J168" s="2"/>
      <c r="K168" s="204"/>
    </row>
    <row r="169" spans="1:12" x14ac:dyDescent="0.2">
      <c r="A169" s="253"/>
      <c r="B169" s="425"/>
      <c r="C169" s="203"/>
      <c r="D169" s="406"/>
      <c r="E169" s="191">
        <v>2020</v>
      </c>
      <c r="F169" s="2"/>
      <c r="G169" s="2"/>
      <c r="H169" s="2"/>
      <c r="I169" s="2"/>
      <c r="J169" s="2"/>
      <c r="K169" s="204"/>
    </row>
    <row r="170" spans="1:12" ht="77.25" customHeight="1" x14ac:dyDescent="0.2">
      <c r="A170" s="253"/>
      <c r="B170" s="426"/>
      <c r="C170" s="203"/>
      <c r="D170" s="407"/>
      <c r="E170" s="24" t="s">
        <v>18</v>
      </c>
      <c r="F170" s="2"/>
      <c r="G170" s="2"/>
      <c r="H170" s="2"/>
      <c r="I170" s="2"/>
      <c r="J170" s="2"/>
      <c r="K170" s="205"/>
    </row>
    <row r="171" spans="1:12" x14ac:dyDescent="0.2">
      <c r="A171" s="253" t="s">
        <v>288</v>
      </c>
      <c r="B171" s="234" t="s">
        <v>52</v>
      </c>
      <c r="C171" s="202" t="s">
        <v>127</v>
      </c>
      <c r="D171" s="405" t="s">
        <v>218</v>
      </c>
      <c r="E171" s="191">
        <v>2015</v>
      </c>
      <c r="F171" s="416" t="s">
        <v>53</v>
      </c>
      <c r="G171" s="417"/>
      <c r="H171" s="417"/>
      <c r="I171" s="417"/>
      <c r="J171" s="418"/>
      <c r="K171" s="197" t="s">
        <v>54</v>
      </c>
    </row>
    <row r="172" spans="1:12" x14ac:dyDescent="0.2">
      <c r="A172" s="253"/>
      <c r="B172" s="289"/>
      <c r="C172" s="203"/>
      <c r="D172" s="406"/>
      <c r="E172" s="191">
        <v>2016</v>
      </c>
      <c r="F172" s="419"/>
      <c r="G172" s="420"/>
      <c r="H172" s="420"/>
      <c r="I172" s="420"/>
      <c r="J172" s="421"/>
      <c r="K172" s="204"/>
    </row>
    <row r="173" spans="1:12" x14ac:dyDescent="0.2">
      <c r="A173" s="253"/>
      <c r="B173" s="289"/>
      <c r="C173" s="203"/>
      <c r="D173" s="406"/>
      <c r="E173" s="191">
        <v>2017</v>
      </c>
      <c r="F173" s="419"/>
      <c r="G173" s="420"/>
      <c r="H173" s="420"/>
      <c r="I173" s="420"/>
      <c r="J173" s="421"/>
      <c r="K173" s="204"/>
    </row>
    <row r="174" spans="1:12" x14ac:dyDescent="0.2">
      <c r="A174" s="253"/>
      <c r="B174" s="289"/>
      <c r="C174" s="203"/>
      <c r="D174" s="406"/>
      <c r="E174" s="191">
        <v>2018</v>
      </c>
      <c r="F174" s="419"/>
      <c r="G174" s="420"/>
      <c r="H174" s="420"/>
      <c r="I174" s="420"/>
      <c r="J174" s="421"/>
      <c r="K174" s="204"/>
      <c r="L174" s="123"/>
    </row>
    <row r="175" spans="1:12" x14ac:dyDescent="0.2">
      <c r="A175" s="253"/>
      <c r="B175" s="289"/>
      <c r="C175" s="203"/>
      <c r="D175" s="406"/>
      <c r="E175" s="191">
        <v>2019</v>
      </c>
      <c r="F175" s="419"/>
      <c r="G175" s="420"/>
      <c r="H175" s="420"/>
      <c r="I175" s="420"/>
      <c r="J175" s="421"/>
      <c r="K175" s="204"/>
    </row>
    <row r="176" spans="1:12" x14ac:dyDescent="0.2">
      <c r="A176" s="253"/>
      <c r="B176" s="289"/>
      <c r="C176" s="203"/>
      <c r="D176" s="406"/>
      <c r="E176" s="191">
        <v>2020</v>
      </c>
      <c r="F176" s="419"/>
      <c r="G176" s="420"/>
      <c r="H176" s="420"/>
      <c r="I176" s="420"/>
      <c r="J176" s="421"/>
      <c r="K176" s="204"/>
    </row>
    <row r="177" spans="1:28" ht="15.75" customHeight="1" x14ac:dyDescent="0.2">
      <c r="A177" s="253"/>
      <c r="B177" s="235"/>
      <c r="C177" s="203"/>
      <c r="D177" s="407"/>
      <c r="E177" s="24" t="s">
        <v>18</v>
      </c>
      <c r="F177" s="422"/>
      <c r="G177" s="423"/>
      <c r="H177" s="423"/>
      <c r="I177" s="423"/>
      <c r="J177" s="424"/>
      <c r="K177" s="204"/>
    </row>
    <row r="178" spans="1:28" x14ac:dyDescent="0.2">
      <c r="A178" s="253" t="s">
        <v>289</v>
      </c>
      <c r="B178" s="261" t="s">
        <v>55</v>
      </c>
      <c r="C178" s="202" t="s">
        <v>127</v>
      </c>
      <c r="D178" s="405" t="s">
        <v>218</v>
      </c>
      <c r="E178" s="191">
        <v>2015</v>
      </c>
      <c r="F178" s="271" t="s">
        <v>56</v>
      </c>
      <c r="G178" s="272"/>
      <c r="H178" s="272"/>
      <c r="I178" s="272"/>
      <c r="J178" s="273"/>
      <c r="K178" s="198"/>
    </row>
    <row r="179" spans="1:28" x14ac:dyDescent="0.2">
      <c r="A179" s="253"/>
      <c r="B179" s="261"/>
      <c r="C179" s="203"/>
      <c r="D179" s="406"/>
      <c r="E179" s="191">
        <v>2016</v>
      </c>
      <c r="F179" s="274"/>
      <c r="G179" s="275"/>
      <c r="H179" s="275"/>
      <c r="I179" s="275"/>
      <c r="J179" s="276"/>
      <c r="K179" s="198"/>
    </row>
    <row r="180" spans="1:28" x14ac:dyDescent="0.2">
      <c r="A180" s="253"/>
      <c r="B180" s="261"/>
      <c r="C180" s="203"/>
      <c r="D180" s="406"/>
      <c r="E180" s="191">
        <v>2017</v>
      </c>
      <c r="F180" s="274"/>
      <c r="G180" s="275"/>
      <c r="H180" s="275"/>
      <c r="I180" s="275"/>
      <c r="J180" s="276"/>
      <c r="K180" s="198"/>
    </row>
    <row r="181" spans="1:28" x14ac:dyDescent="0.2">
      <c r="A181" s="253"/>
      <c r="B181" s="261"/>
      <c r="C181" s="203"/>
      <c r="D181" s="406"/>
      <c r="E181" s="191">
        <v>2018</v>
      </c>
      <c r="F181" s="274"/>
      <c r="G181" s="275"/>
      <c r="H181" s="275"/>
      <c r="I181" s="275"/>
      <c r="J181" s="276"/>
      <c r="K181" s="198"/>
    </row>
    <row r="182" spans="1:28" x14ac:dyDescent="0.2">
      <c r="A182" s="253"/>
      <c r="B182" s="261"/>
      <c r="C182" s="203"/>
      <c r="D182" s="406"/>
      <c r="E182" s="191">
        <v>2019</v>
      </c>
      <c r="F182" s="274"/>
      <c r="G182" s="275"/>
      <c r="H182" s="275"/>
      <c r="I182" s="275"/>
      <c r="J182" s="276"/>
      <c r="K182" s="198"/>
    </row>
    <row r="183" spans="1:28" x14ac:dyDescent="0.2">
      <c r="A183" s="253"/>
      <c r="B183" s="261"/>
      <c r="C183" s="203"/>
      <c r="D183" s="406"/>
      <c r="E183" s="191">
        <v>2020</v>
      </c>
      <c r="F183" s="277"/>
      <c r="G183" s="278"/>
      <c r="H183" s="278"/>
      <c r="I183" s="278"/>
      <c r="J183" s="279"/>
      <c r="K183" s="198"/>
    </row>
    <row r="184" spans="1:28" x14ac:dyDescent="0.2">
      <c r="A184" s="253"/>
      <c r="B184" s="261"/>
      <c r="C184" s="203"/>
      <c r="D184" s="407"/>
      <c r="E184" s="32" t="s">
        <v>18</v>
      </c>
      <c r="F184" s="186"/>
      <c r="G184" s="186"/>
      <c r="H184" s="186"/>
      <c r="I184" s="186"/>
      <c r="J184" s="186"/>
      <c r="K184" s="199"/>
    </row>
    <row r="185" spans="1:28" ht="14.25" customHeight="1" x14ac:dyDescent="0.2">
      <c r="A185" s="410" t="s">
        <v>290</v>
      </c>
      <c r="B185" s="234" t="s">
        <v>129</v>
      </c>
      <c r="C185" s="228" t="s">
        <v>127</v>
      </c>
      <c r="D185" s="197" t="s">
        <v>218</v>
      </c>
      <c r="E185" s="191">
        <v>2016</v>
      </c>
      <c r="F185" s="14">
        <f>SUM(G185:J185)</f>
        <v>12886.900000000001</v>
      </c>
      <c r="G185" s="28"/>
      <c r="H185" s="28">
        <f>13077.7-190.8</f>
        <v>12886.900000000001</v>
      </c>
      <c r="I185" s="28"/>
      <c r="J185" s="28"/>
      <c r="K185" s="197" t="s">
        <v>141</v>
      </c>
    </row>
    <row r="186" spans="1:28" ht="14.25" customHeight="1" x14ac:dyDescent="0.2">
      <c r="A186" s="411"/>
      <c r="B186" s="408"/>
      <c r="C186" s="229"/>
      <c r="D186" s="204"/>
      <c r="E186" s="191">
        <v>2017</v>
      </c>
      <c r="F186" s="14">
        <f t="shared" ref="F186:F187" si="10">SUM(G186:J186)</f>
        <v>12955</v>
      </c>
      <c r="G186" s="28"/>
      <c r="H186" s="28">
        <f>12995.9-40.9</f>
        <v>12955</v>
      </c>
      <c r="I186" s="28"/>
      <c r="J186" s="28"/>
      <c r="K186" s="204"/>
      <c r="L186" s="123"/>
    </row>
    <row r="187" spans="1:28" ht="15" customHeight="1" x14ac:dyDescent="0.2">
      <c r="A187" s="411"/>
      <c r="B187" s="408"/>
      <c r="C187" s="229"/>
      <c r="D187" s="204"/>
      <c r="E187" s="191">
        <v>2018</v>
      </c>
      <c r="F187" s="14">
        <f t="shared" si="10"/>
        <v>12995.9</v>
      </c>
      <c r="G187" s="28"/>
      <c r="H187" s="28">
        <v>12995.9</v>
      </c>
      <c r="I187" s="28"/>
      <c r="J187" s="28"/>
      <c r="K187" s="204"/>
    </row>
    <row r="188" spans="1:28" ht="13.5" customHeight="1" x14ac:dyDescent="0.2">
      <c r="A188" s="411"/>
      <c r="B188" s="408"/>
      <c r="C188" s="229"/>
      <c r="D188" s="204"/>
      <c r="E188" s="191">
        <v>2019</v>
      </c>
      <c r="F188" s="14">
        <f t="shared" ref="F188" si="11">SUM(G188:J188)</f>
        <v>12995.9</v>
      </c>
      <c r="G188" s="28"/>
      <c r="H188" s="28">
        <v>12995.9</v>
      </c>
      <c r="I188" s="28"/>
      <c r="J188" s="28"/>
      <c r="K188" s="204"/>
      <c r="L188" s="123"/>
    </row>
    <row r="189" spans="1:28" ht="16.5" customHeight="1" x14ac:dyDescent="0.2">
      <c r="A189" s="411"/>
      <c r="B189" s="408"/>
      <c r="C189" s="229"/>
      <c r="D189" s="204"/>
      <c r="E189" s="191">
        <v>2020</v>
      </c>
      <c r="F189" s="28"/>
      <c r="G189" s="28"/>
      <c r="H189" s="28"/>
      <c r="I189" s="28"/>
      <c r="J189" s="28"/>
      <c r="K189" s="204"/>
    </row>
    <row r="190" spans="1:28" ht="16.5" customHeight="1" x14ac:dyDescent="0.2">
      <c r="A190" s="412"/>
      <c r="B190" s="409"/>
      <c r="C190" s="236"/>
      <c r="D190" s="205"/>
      <c r="E190" s="24" t="s">
        <v>18</v>
      </c>
      <c r="F190" s="28">
        <f>F185+F186+F187+F188+F189</f>
        <v>51833.700000000004</v>
      </c>
      <c r="G190" s="28"/>
      <c r="H190" s="28">
        <f>H185+H186+H187+H188+H189</f>
        <v>51833.700000000004</v>
      </c>
      <c r="I190" s="28"/>
      <c r="J190" s="28"/>
      <c r="K190" s="205"/>
      <c r="P190" s="123"/>
    </row>
    <row r="191" spans="1:28" ht="23.25" customHeight="1" x14ac:dyDescent="0.2">
      <c r="A191" s="413" t="s">
        <v>195</v>
      </c>
      <c r="B191" s="414"/>
      <c r="C191" s="414"/>
      <c r="D191" s="415"/>
      <c r="E191" s="180"/>
      <c r="F191" s="97">
        <f>F184+F170+F163+F149+F156+F190</f>
        <v>2102934.1</v>
      </c>
      <c r="G191" s="97">
        <f>G184+G170+G163+G149+G156+G190</f>
        <v>0</v>
      </c>
      <c r="H191" s="97">
        <f>H184+H170+H163+H149+H156+H190</f>
        <v>1773532.3</v>
      </c>
      <c r="I191" s="97">
        <f>I184+I170+I163+I149+I156+I190</f>
        <v>329401.80000000005</v>
      </c>
      <c r="J191" s="19"/>
      <c r="K191" s="43"/>
      <c r="L191" s="142"/>
      <c r="M191" s="123"/>
      <c r="N191" s="142"/>
      <c r="O191" s="123"/>
      <c r="P191" s="142"/>
    </row>
    <row r="192" spans="1:28" ht="25.5" customHeight="1" thickBot="1" x14ac:dyDescent="0.25">
      <c r="A192" s="280" t="s">
        <v>200</v>
      </c>
      <c r="B192" s="262"/>
      <c r="C192" s="262"/>
      <c r="D192" s="262"/>
      <c r="E192" s="107"/>
      <c r="F192" s="108">
        <f>SUM(G192:I192)</f>
        <v>2415628.8000000003</v>
      </c>
      <c r="G192" s="108">
        <f>G191+G124+G114</f>
        <v>0</v>
      </c>
      <c r="H192" s="108">
        <f>H191+H114</f>
        <v>1924802.6</v>
      </c>
      <c r="I192" s="108">
        <f>I191+I114</f>
        <v>490826.20000000007</v>
      </c>
      <c r="J192" s="109"/>
      <c r="K192" s="166"/>
      <c r="L192" s="53"/>
      <c r="M192" s="34"/>
      <c r="N192" s="53"/>
      <c r="O192" s="34"/>
      <c r="P192" s="53"/>
      <c r="Q192" s="128"/>
      <c r="R192" s="34"/>
      <c r="S192" s="128"/>
      <c r="T192" s="34"/>
      <c r="U192" s="34"/>
      <c r="V192" s="34"/>
      <c r="W192" s="34"/>
      <c r="X192" s="34"/>
      <c r="Y192" s="34"/>
      <c r="Z192" s="34"/>
      <c r="AA192" s="34"/>
      <c r="AB192" s="34"/>
    </row>
    <row r="193" spans="1:32" ht="23.25" customHeight="1" x14ac:dyDescent="0.2">
      <c r="A193" s="281" t="s">
        <v>188</v>
      </c>
      <c r="B193" s="282"/>
      <c r="C193" s="282"/>
      <c r="D193" s="282"/>
      <c r="E193" s="282"/>
      <c r="F193" s="282"/>
      <c r="G193" s="282"/>
      <c r="H193" s="282"/>
      <c r="I193" s="282"/>
      <c r="J193" s="282"/>
      <c r="K193" s="282"/>
      <c r="L193" s="47"/>
      <c r="M193" s="47"/>
      <c r="N193" s="47"/>
      <c r="O193" s="47"/>
      <c r="P193" s="47"/>
      <c r="Q193" s="47"/>
      <c r="R193" s="47"/>
      <c r="S193" s="47"/>
      <c r="T193" s="47"/>
      <c r="U193" s="47"/>
      <c r="V193" s="47"/>
      <c r="W193" s="47"/>
      <c r="X193" s="47"/>
      <c r="Y193" s="47"/>
      <c r="Z193" s="47"/>
      <c r="AA193" s="47"/>
      <c r="AB193" s="47"/>
      <c r="AC193" s="45"/>
      <c r="AD193" s="45"/>
      <c r="AE193" s="45"/>
      <c r="AF193" s="46"/>
    </row>
    <row r="194" spans="1:32" ht="15.75" x14ac:dyDescent="0.2">
      <c r="A194" s="283" t="s">
        <v>187</v>
      </c>
      <c r="B194" s="284"/>
      <c r="C194" s="285"/>
      <c r="D194" s="284"/>
      <c r="E194" s="284"/>
      <c r="F194" s="284"/>
      <c r="G194" s="284"/>
      <c r="H194" s="284"/>
      <c r="I194" s="284"/>
      <c r="J194" s="284"/>
      <c r="K194" s="284"/>
      <c r="L194" s="47"/>
      <c r="M194" s="47"/>
      <c r="N194" s="47"/>
      <c r="O194" s="47"/>
      <c r="P194" s="47"/>
      <c r="Q194" s="47"/>
      <c r="R194" s="47"/>
      <c r="S194" s="47"/>
      <c r="T194" s="47"/>
      <c r="U194" s="47"/>
      <c r="V194" s="47"/>
      <c r="W194" s="47"/>
      <c r="X194" s="47"/>
      <c r="Y194" s="47"/>
      <c r="Z194" s="47"/>
      <c r="AA194" s="47"/>
      <c r="AB194" s="47"/>
      <c r="AC194" s="47"/>
      <c r="AD194" s="47"/>
      <c r="AE194" s="47"/>
      <c r="AF194" s="48"/>
    </row>
    <row r="195" spans="1:32" ht="12.75" customHeight="1" x14ac:dyDescent="0.2">
      <c r="A195" s="286" t="s">
        <v>16</v>
      </c>
      <c r="B195" s="261" t="s">
        <v>219</v>
      </c>
      <c r="C195" s="202" t="s">
        <v>144</v>
      </c>
      <c r="D195" s="405" t="s">
        <v>409</v>
      </c>
      <c r="E195" s="191">
        <v>2015</v>
      </c>
      <c r="F195" s="14"/>
      <c r="G195" s="14"/>
      <c r="H195" s="14"/>
      <c r="I195" s="14"/>
      <c r="J195" s="14"/>
      <c r="K195" s="197" t="s">
        <v>142</v>
      </c>
    </row>
    <row r="196" spans="1:32" x14ac:dyDescent="0.2">
      <c r="A196" s="286"/>
      <c r="B196" s="262"/>
      <c r="C196" s="203"/>
      <c r="D196" s="406"/>
      <c r="E196" s="191">
        <v>2016</v>
      </c>
      <c r="F196" s="14"/>
      <c r="G196" s="14"/>
      <c r="H196" s="14"/>
      <c r="I196" s="14"/>
      <c r="J196" s="14"/>
      <c r="K196" s="204"/>
    </row>
    <row r="197" spans="1:32" x14ac:dyDescent="0.2">
      <c r="A197" s="286"/>
      <c r="B197" s="262"/>
      <c r="C197" s="203"/>
      <c r="D197" s="406"/>
      <c r="E197" s="191">
        <v>2017</v>
      </c>
      <c r="F197" s="14"/>
      <c r="G197" s="14"/>
      <c r="H197" s="14"/>
      <c r="I197" s="14"/>
      <c r="J197" s="14"/>
      <c r="K197" s="204"/>
      <c r="L197" s="123"/>
    </row>
    <row r="198" spans="1:32" x14ac:dyDescent="0.2">
      <c r="A198" s="286"/>
      <c r="B198" s="262"/>
      <c r="C198" s="203"/>
      <c r="D198" s="406"/>
      <c r="E198" s="191">
        <v>2018</v>
      </c>
      <c r="F198" s="14"/>
      <c r="G198" s="14"/>
      <c r="H198" s="14"/>
      <c r="I198" s="14"/>
      <c r="J198" s="14"/>
      <c r="K198" s="204"/>
    </row>
    <row r="199" spans="1:32" x14ac:dyDescent="0.2">
      <c r="A199" s="286"/>
      <c r="B199" s="262"/>
      <c r="C199" s="203"/>
      <c r="D199" s="406"/>
      <c r="E199" s="191">
        <v>2019</v>
      </c>
      <c r="F199" s="14">
        <f>SUM(G199:J199)</f>
        <v>0</v>
      </c>
      <c r="G199" s="14"/>
      <c r="H199" s="14">
        <f>85230-85230</f>
        <v>0</v>
      </c>
      <c r="I199" s="14">
        <f>860.9-860.9</f>
        <v>0</v>
      </c>
      <c r="J199" s="14"/>
      <c r="K199" s="204"/>
    </row>
    <row r="200" spans="1:32" x14ac:dyDescent="0.2">
      <c r="A200" s="286"/>
      <c r="B200" s="262"/>
      <c r="C200" s="203"/>
      <c r="D200" s="406"/>
      <c r="E200" s="191">
        <v>2020</v>
      </c>
      <c r="F200" s="14">
        <f>SUM(G200:J200)</f>
        <v>86090.9</v>
      </c>
      <c r="G200" s="14"/>
      <c r="H200" s="14">
        <v>85230</v>
      </c>
      <c r="I200" s="14">
        <v>860.9</v>
      </c>
      <c r="J200" s="14"/>
      <c r="K200" s="204"/>
    </row>
    <row r="201" spans="1:32" x14ac:dyDescent="0.2">
      <c r="A201" s="286"/>
      <c r="B201" s="263"/>
      <c r="C201" s="203"/>
      <c r="D201" s="407"/>
      <c r="E201" s="24" t="s">
        <v>18</v>
      </c>
      <c r="F201" s="13">
        <f>SUM(F195:F200)</f>
        <v>86090.9</v>
      </c>
      <c r="G201" s="13">
        <f>SUM(G195:G200)</f>
        <v>0</v>
      </c>
      <c r="H201" s="13">
        <f>SUM(H195:H200)</f>
        <v>85230</v>
      </c>
      <c r="I201" s="13">
        <f>SUM(I195:I200)</f>
        <v>860.9</v>
      </c>
      <c r="J201" s="14"/>
      <c r="K201" s="205"/>
    </row>
    <row r="202" spans="1:32" ht="12.75" customHeight="1" x14ac:dyDescent="0.2">
      <c r="A202" s="286" t="s">
        <v>19</v>
      </c>
      <c r="B202" s="261" t="s">
        <v>57</v>
      </c>
      <c r="C202" s="202" t="s">
        <v>58</v>
      </c>
      <c r="D202" s="405" t="s">
        <v>412</v>
      </c>
      <c r="E202" s="191">
        <v>2015</v>
      </c>
      <c r="F202" s="14">
        <f>SUM(G202:I202)</f>
        <v>11594</v>
      </c>
      <c r="G202" s="14"/>
      <c r="H202" s="14">
        <f>9200+2278</f>
        <v>11478</v>
      </c>
      <c r="I202" s="14">
        <f>92.9+23.1</f>
        <v>116</v>
      </c>
      <c r="J202" s="14"/>
      <c r="K202" s="197" t="s">
        <v>143</v>
      </c>
    </row>
    <row r="203" spans="1:32" x14ac:dyDescent="0.2">
      <c r="A203" s="286"/>
      <c r="B203" s="262"/>
      <c r="C203" s="203"/>
      <c r="D203" s="406"/>
      <c r="E203" s="191">
        <v>2016</v>
      </c>
      <c r="F203" s="14">
        <f>SUM(G203:I203)</f>
        <v>19796.5</v>
      </c>
      <c r="G203" s="14"/>
      <c r="H203" s="14">
        <v>19593.599999999999</v>
      </c>
      <c r="I203" s="14">
        <f>198+4.9</f>
        <v>202.9</v>
      </c>
      <c r="J203" s="14"/>
      <c r="K203" s="204"/>
    </row>
    <row r="204" spans="1:32" x14ac:dyDescent="0.2">
      <c r="A204" s="286"/>
      <c r="B204" s="262"/>
      <c r="C204" s="203"/>
      <c r="D204" s="406"/>
      <c r="E204" s="191">
        <v>2017</v>
      </c>
      <c r="F204" s="14"/>
      <c r="G204" s="14"/>
      <c r="H204" s="14"/>
      <c r="I204" s="14"/>
      <c r="J204" s="14"/>
      <c r="K204" s="204"/>
    </row>
    <row r="205" spans="1:32" x14ac:dyDescent="0.2">
      <c r="A205" s="286"/>
      <c r="B205" s="262"/>
      <c r="C205" s="203"/>
      <c r="D205" s="406"/>
      <c r="E205" s="191">
        <v>2018</v>
      </c>
      <c r="F205" s="14"/>
      <c r="G205" s="14"/>
      <c r="H205" s="14"/>
      <c r="I205" s="14"/>
      <c r="J205" s="14"/>
      <c r="K205" s="204"/>
      <c r="L205" s="123"/>
    </row>
    <row r="206" spans="1:32" x14ac:dyDescent="0.2">
      <c r="A206" s="286"/>
      <c r="B206" s="262"/>
      <c r="C206" s="203"/>
      <c r="D206" s="406"/>
      <c r="E206" s="191">
        <v>2019</v>
      </c>
      <c r="F206" s="14"/>
      <c r="G206" s="14"/>
      <c r="H206" s="14"/>
      <c r="I206" s="14"/>
      <c r="J206" s="14"/>
      <c r="K206" s="204"/>
    </row>
    <row r="207" spans="1:32" x14ac:dyDescent="0.2">
      <c r="A207" s="286"/>
      <c r="B207" s="262"/>
      <c r="C207" s="203"/>
      <c r="D207" s="406"/>
      <c r="E207" s="191">
        <v>2020</v>
      </c>
      <c r="F207" s="13"/>
      <c r="G207" s="13"/>
      <c r="H207" s="13"/>
      <c r="I207" s="13"/>
      <c r="J207" s="14"/>
      <c r="K207" s="204"/>
    </row>
    <row r="208" spans="1:32" x14ac:dyDescent="0.2">
      <c r="A208" s="286"/>
      <c r="B208" s="262"/>
      <c r="C208" s="203"/>
      <c r="D208" s="407"/>
      <c r="E208" s="24" t="s">
        <v>18</v>
      </c>
      <c r="F208" s="13">
        <f>SUM(F202:F207)</f>
        <v>31390.5</v>
      </c>
      <c r="G208" s="13"/>
      <c r="H208" s="13">
        <f>SUM(H202:H207)</f>
        <v>31071.599999999999</v>
      </c>
      <c r="I208" s="13">
        <f>SUM(I202:I207)</f>
        <v>318.89999999999998</v>
      </c>
      <c r="J208" s="14"/>
      <c r="K208" s="205"/>
    </row>
    <row r="209" spans="1:33" x14ac:dyDescent="0.2">
      <c r="A209" s="286" t="s">
        <v>59</v>
      </c>
      <c r="B209" s="261" t="s">
        <v>277</v>
      </c>
      <c r="C209" s="202" t="s">
        <v>145</v>
      </c>
      <c r="D209" s="405" t="s">
        <v>409</v>
      </c>
      <c r="E209" s="191">
        <v>2015</v>
      </c>
      <c r="F209" s="14">
        <f>SUM(G209:I209)</f>
        <v>0</v>
      </c>
      <c r="G209" s="14"/>
      <c r="H209" s="14">
        <f>19500-19500</f>
        <v>0</v>
      </c>
      <c r="I209" s="14">
        <f>197-197</f>
        <v>0</v>
      </c>
      <c r="J209" s="14"/>
      <c r="K209" s="197" t="s">
        <v>181</v>
      </c>
    </row>
    <row r="210" spans="1:33" x14ac:dyDescent="0.2">
      <c r="A210" s="286"/>
      <c r="B210" s="262"/>
      <c r="C210" s="203"/>
      <c r="D210" s="406"/>
      <c r="E210" s="191">
        <v>2016</v>
      </c>
      <c r="F210" s="14">
        <f>SUM(G210:I210)</f>
        <v>0</v>
      </c>
      <c r="G210" s="14"/>
      <c r="H210" s="14">
        <v>0</v>
      </c>
      <c r="I210" s="14">
        <v>0</v>
      </c>
      <c r="J210" s="14"/>
      <c r="K210" s="204"/>
    </row>
    <row r="211" spans="1:33" x14ac:dyDescent="0.2">
      <c r="A211" s="286"/>
      <c r="B211" s="262"/>
      <c r="C211" s="203"/>
      <c r="D211" s="406"/>
      <c r="E211" s="191">
        <v>2017</v>
      </c>
      <c r="F211" s="14">
        <f>SUM(G211:I211)</f>
        <v>23206.5</v>
      </c>
      <c r="G211" s="14"/>
      <c r="H211" s="14">
        <v>0</v>
      </c>
      <c r="I211" s="14">
        <f>30000-6793.5</f>
        <v>23206.5</v>
      </c>
      <c r="J211" s="14"/>
      <c r="K211" s="204"/>
      <c r="L211" s="123"/>
    </row>
    <row r="212" spans="1:33" x14ac:dyDescent="0.2">
      <c r="A212" s="286"/>
      <c r="B212" s="262"/>
      <c r="C212" s="203"/>
      <c r="D212" s="406"/>
      <c r="E212" s="191">
        <v>2018</v>
      </c>
      <c r="F212" s="14">
        <f>SUM(G212:I212)</f>
        <v>20619.900000000001</v>
      </c>
      <c r="G212" s="14"/>
      <c r="H212" s="14">
        <v>0</v>
      </c>
      <c r="I212" s="14">
        <v>20619.900000000001</v>
      </c>
      <c r="J212" s="14"/>
      <c r="K212" s="204"/>
      <c r="L212" s="123" t="s">
        <v>372</v>
      </c>
      <c r="M212" s="123" t="s">
        <v>374</v>
      </c>
    </row>
    <row r="213" spans="1:33" ht="27.75" customHeight="1" x14ac:dyDescent="0.2">
      <c r="A213" s="286"/>
      <c r="B213" s="262"/>
      <c r="C213" s="203"/>
      <c r="D213" s="407"/>
      <c r="E213" s="24" t="s">
        <v>18</v>
      </c>
      <c r="F213" s="13">
        <f>SUM(F209:F212)</f>
        <v>43826.400000000001</v>
      </c>
      <c r="G213" s="13"/>
      <c r="H213" s="13">
        <f>SUM(H209:H210)</f>
        <v>0</v>
      </c>
      <c r="I213" s="13">
        <f>SUM(I209:I212)</f>
        <v>43826.400000000001</v>
      </c>
      <c r="J213" s="14"/>
      <c r="K213" s="205"/>
    </row>
    <row r="214" spans="1:33" ht="15" x14ac:dyDescent="0.2">
      <c r="A214" s="49" t="s">
        <v>122</v>
      </c>
      <c r="B214" s="177"/>
      <c r="C214" s="41"/>
      <c r="D214" s="50"/>
      <c r="E214" s="24"/>
      <c r="F214" s="3"/>
      <c r="G214" s="3"/>
      <c r="H214" s="3"/>
      <c r="I214" s="3"/>
      <c r="J214" s="2"/>
      <c r="K214" s="191"/>
    </row>
    <row r="215" spans="1:33" x14ac:dyDescent="0.2">
      <c r="A215" s="286" t="s">
        <v>60</v>
      </c>
      <c r="B215" s="234" t="s">
        <v>243</v>
      </c>
      <c r="C215" s="228" t="s">
        <v>61</v>
      </c>
      <c r="D215" s="197" t="s">
        <v>408</v>
      </c>
      <c r="E215" s="191">
        <v>2015</v>
      </c>
      <c r="F215" s="14">
        <f t="shared" ref="F215:F220" si="12">SUM(G215:I215)</f>
        <v>11247</v>
      </c>
      <c r="G215" s="14"/>
      <c r="H215" s="14">
        <v>11106</v>
      </c>
      <c r="I215" s="14">
        <f>176.6-5-30.6</f>
        <v>141</v>
      </c>
      <c r="J215" s="14"/>
      <c r="K215" s="197" t="s">
        <v>146</v>
      </c>
    </row>
    <row r="216" spans="1:33" x14ac:dyDescent="0.2">
      <c r="A216" s="286"/>
      <c r="B216" s="289"/>
      <c r="C216" s="229"/>
      <c r="D216" s="204"/>
      <c r="E216" s="191">
        <v>2016</v>
      </c>
      <c r="F216" s="14">
        <f t="shared" si="12"/>
        <v>18177.099999999995</v>
      </c>
      <c r="G216" s="14"/>
      <c r="H216" s="14">
        <v>0</v>
      </c>
      <c r="I216" s="14">
        <f>329.1+8010.2+741.4+6855.2- 5378.5-329.1+7910+38.8</f>
        <v>18177.099999999995</v>
      </c>
      <c r="J216" s="14"/>
      <c r="K216" s="204"/>
    </row>
    <row r="217" spans="1:33" x14ac:dyDescent="0.2">
      <c r="A217" s="286"/>
      <c r="B217" s="289"/>
      <c r="C217" s="229"/>
      <c r="D217" s="204"/>
      <c r="E217" s="191">
        <v>2017</v>
      </c>
      <c r="F217" s="14">
        <f t="shared" si="12"/>
        <v>11055.7</v>
      </c>
      <c r="G217" s="14"/>
      <c r="H217" s="14">
        <v>0</v>
      </c>
      <c r="I217" s="14">
        <f>10704.2+351.5</f>
        <v>11055.7</v>
      </c>
      <c r="J217" s="14"/>
      <c r="K217" s="204"/>
      <c r="L217" s="123"/>
      <c r="O217" s="123" t="s">
        <v>346</v>
      </c>
      <c r="P217" s="123"/>
    </row>
    <row r="218" spans="1:33" x14ac:dyDescent="0.2">
      <c r="A218" s="286"/>
      <c r="B218" s="289"/>
      <c r="C218" s="229"/>
      <c r="D218" s="204"/>
      <c r="E218" s="191">
        <v>2018</v>
      </c>
      <c r="F218" s="14">
        <f t="shared" si="12"/>
        <v>0</v>
      </c>
      <c r="G218" s="14"/>
      <c r="H218" s="14">
        <f>5675-5675</f>
        <v>0</v>
      </c>
      <c r="I218" s="14">
        <f>299-299</f>
        <v>0</v>
      </c>
      <c r="J218" s="14"/>
      <c r="K218" s="204"/>
    </row>
    <row r="219" spans="1:33" x14ac:dyDescent="0.2">
      <c r="A219" s="286"/>
      <c r="B219" s="289"/>
      <c r="C219" s="229"/>
      <c r="D219" s="204"/>
      <c r="E219" s="191">
        <v>2019</v>
      </c>
      <c r="F219" s="14">
        <f t="shared" si="12"/>
        <v>0</v>
      </c>
      <c r="G219" s="14"/>
      <c r="H219" s="14">
        <f>23675-23675</f>
        <v>0</v>
      </c>
      <c r="I219" s="14">
        <f>1246-1246</f>
        <v>0</v>
      </c>
      <c r="J219" s="14"/>
      <c r="K219" s="204"/>
      <c r="L219" s="123"/>
    </row>
    <row r="220" spans="1:33" x14ac:dyDescent="0.2">
      <c r="A220" s="286"/>
      <c r="B220" s="289"/>
      <c r="C220" s="229"/>
      <c r="D220" s="204"/>
      <c r="E220" s="191">
        <v>2020</v>
      </c>
      <c r="F220" s="14">
        <f t="shared" si="12"/>
        <v>17771.5</v>
      </c>
      <c r="G220" s="14"/>
      <c r="H220" s="14">
        <v>16882.5</v>
      </c>
      <c r="I220" s="14">
        <f>615+274</f>
        <v>889</v>
      </c>
      <c r="J220" s="14"/>
      <c r="K220" s="204"/>
    </row>
    <row r="221" spans="1:33" ht="60" customHeight="1" x14ac:dyDescent="0.2">
      <c r="A221" s="456"/>
      <c r="B221" s="235"/>
      <c r="C221" s="236"/>
      <c r="D221" s="205"/>
      <c r="E221" s="32" t="s">
        <v>18</v>
      </c>
      <c r="F221" s="51">
        <f>SUM(F215:F220)</f>
        <v>58251.299999999996</v>
      </c>
      <c r="G221" s="51">
        <f>SUM(G215:G220)</f>
        <v>0</v>
      </c>
      <c r="H221" s="51">
        <f>SUM(H215:H220)</f>
        <v>27988.5</v>
      </c>
      <c r="I221" s="51">
        <f>SUM(I215:I220)</f>
        <v>30262.799999999996</v>
      </c>
      <c r="J221" s="28"/>
      <c r="K221" s="205"/>
      <c r="L221" s="34"/>
      <c r="M221" s="34"/>
      <c r="N221" s="34"/>
      <c r="O221" s="34"/>
      <c r="P221" s="34"/>
      <c r="Q221" s="34"/>
      <c r="R221" s="34"/>
      <c r="S221" s="34"/>
      <c r="T221" s="34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F221" s="34"/>
      <c r="AG221" s="34"/>
    </row>
    <row r="222" spans="1:33" x14ac:dyDescent="0.2">
      <c r="A222" s="232" t="s">
        <v>244</v>
      </c>
      <c r="B222" s="234" t="s">
        <v>263</v>
      </c>
      <c r="C222" s="228" t="s">
        <v>245</v>
      </c>
      <c r="D222" s="197" t="s">
        <v>408</v>
      </c>
      <c r="E222" s="191">
        <v>2016</v>
      </c>
      <c r="F222" s="14">
        <f t="shared" ref="F222:F223" si="13">SUM(G222:I222)</f>
        <v>63958.799999999996</v>
      </c>
      <c r="G222" s="14"/>
      <c r="H222" s="14">
        <v>63319.199999999997</v>
      </c>
      <c r="I222" s="14">
        <v>639.6</v>
      </c>
      <c r="J222" s="14"/>
      <c r="K222" s="197" t="s">
        <v>146</v>
      </c>
    </row>
    <row r="223" spans="1:33" x14ac:dyDescent="0.2">
      <c r="A223" s="468"/>
      <c r="B223" s="289"/>
      <c r="C223" s="229"/>
      <c r="D223" s="204"/>
      <c r="E223" s="191">
        <v>2017</v>
      </c>
      <c r="F223" s="14">
        <f t="shared" si="13"/>
        <v>29803.499999999996</v>
      </c>
      <c r="G223" s="14"/>
      <c r="H223" s="14">
        <f>37157.1-7676.9</f>
        <v>29480.199999999997</v>
      </c>
      <c r="I223" s="14">
        <f>400.8-77.5</f>
        <v>323.3</v>
      </c>
      <c r="J223" s="14"/>
      <c r="K223" s="204"/>
      <c r="L223" s="123" t="s">
        <v>376</v>
      </c>
      <c r="M223" s="123"/>
      <c r="O223" s="150" t="s">
        <v>377</v>
      </c>
      <c r="P223" s="134"/>
      <c r="Q223" s="137"/>
    </row>
    <row r="224" spans="1:33" ht="109.5" customHeight="1" x14ac:dyDescent="0.2">
      <c r="A224" s="233"/>
      <c r="B224" s="235"/>
      <c r="C224" s="236"/>
      <c r="D224" s="205"/>
      <c r="E224" s="32" t="s">
        <v>18</v>
      </c>
      <c r="F224" s="51">
        <f>SUM(F222:F223)</f>
        <v>93762.299999999988</v>
      </c>
      <c r="G224" s="51">
        <f>SUM(G222:G223)</f>
        <v>0</v>
      </c>
      <c r="H224" s="51">
        <f>SUM(H222:H223)</f>
        <v>92799.4</v>
      </c>
      <c r="I224" s="51">
        <f>SUM(I222:I223)</f>
        <v>962.90000000000009</v>
      </c>
      <c r="J224" s="28"/>
      <c r="K224" s="205"/>
      <c r="L224" s="34"/>
      <c r="M224" s="34"/>
      <c r="N224" s="34"/>
      <c r="O224" s="34"/>
      <c r="P224" s="34"/>
      <c r="Q224" s="34"/>
      <c r="R224" s="34"/>
      <c r="S224" s="34"/>
      <c r="T224" s="34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F224" s="34"/>
      <c r="AG224" s="34"/>
    </row>
    <row r="225" spans="1:33" x14ac:dyDescent="0.2">
      <c r="A225" s="232" t="s">
        <v>246</v>
      </c>
      <c r="B225" s="234" t="s">
        <v>259</v>
      </c>
      <c r="C225" s="228" t="s">
        <v>245</v>
      </c>
      <c r="D225" s="197" t="s">
        <v>408</v>
      </c>
      <c r="E225" s="191">
        <v>2017</v>
      </c>
      <c r="F225" s="14">
        <f t="shared" ref="F225" si="14">SUM(G225:I225)</f>
        <v>18085.100000000002</v>
      </c>
      <c r="G225" s="14"/>
      <c r="H225" s="14">
        <f>22240.4-4343</f>
        <v>17897.400000000001</v>
      </c>
      <c r="I225" s="14">
        <f>224.7-37</f>
        <v>187.7</v>
      </c>
      <c r="J225" s="14"/>
      <c r="K225" s="197" t="s">
        <v>146</v>
      </c>
      <c r="L225" s="123" t="s">
        <v>378</v>
      </c>
      <c r="N225" s="123"/>
    </row>
    <row r="226" spans="1:33" ht="122.25" customHeight="1" x14ac:dyDescent="0.2">
      <c r="A226" s="233"/>
      <c r="B226" s="235"/>
      <c r="C226" s="236"/>
      <c r="D226" s="205"/>
      <c r="E226" s="32" t="s">
        <v>18</v>
      </c>
      <c r="F226" s="51">
        <f>SUM(F225:F225)</f>
        <v>18085.100000000002</v>
      </c>
      <c r="G226" s="51">
        <f>SUM(G225:G225)</f>
        <v>0</v>
      </c>
      <c r="H226" s="51">
        <f>SUM(H225:H225)</f>
        <v>17897.400000000001</v>
      </c>
      <c r="I226" s="51">
        <f>SUM(I225:I225)</f>
        <v>187.7</v>
      </c>
      <c r="J226" s="28"/>
      <c r="K226" s="205"/>
      <c r="L226" s="149"/>
      <c r="M226" s="34"/>
      <c r="N226" s="34"/>
      <c r="O226" s="34"/>
      <c r="P226" s="34"/>
      <c r="Q226" s="34"/>
      <c r="R226" s="34"/>
      <c r="S226" s="34"/>
      <c r="T226" s="34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F226" s="34"/>
      <c r="AG226" s="34"/>
    </row>
    <row r="227" spans="1:33" x14ac:dyDescent="0.2">
      <c r="A227" s="232" t="s">
        <v>278</v>
      </c>
      <c r="B227" s="234" t="s">
        <v>329</v>
      </c>
      <c r="C227" s="228" t="s">
        <v>245</v>
      </c>
      <c r="D227" s="197" t="s">
        <v>408</v>
      </c>
      <c r="E227" s="191">
        <v>2017</v>
      </c>
      <c r="F227" s="14">
        <f t="shared" ref="F227" si="15">SUM(G227:I227)</f>
        <v>5818.9</v>
      </c>
      <c r="G227" s="14"/>
      <c r="H227" s="14">
        <v>5760.7</v>
      </c>
      <c r="I227" s="14">
        <v>58.2</v>
      </c>
      <c r="J227" s="14"/>
      <c r="K227" s="197" t="s">
        <v>146</v>
      </c>
      <c r="L227" s="128" t="s">
        <v>355</v>
      </c>
    </row>
    <row r="228" spans="1:33" ht="120" customHeight="1" x14ac:dyDescent="0.2">
      <c r="A228" s="233"/>
      <c r="B228" s="235"/>
      <c r="C228" s="236"/>
      <c r="D228" s="205"/>
      <c r="E228" s="32" t="s">
        <v>18</v>
      </c>
      <c r="F228" s="51">
        <f>SUM(F227:F227)</f>
        <v>5818.9</v>
      </c>
      <c r="G228" s="51">
        <f>SUM(G227:G227)</f>
        <v>0</v>
      </c>
      <c r="H228" s="51">
        <f>SUM(H227:H227)</f>
        <v>5760.7</v>
      </c>
      <c r="I228" s="51">
        <f>SUM(I227:I227)</f>
        <v>58.2</v>
      </c>
      <c r="J228" s="28"/>
      <c r="K228" s="205"/>
      <c r="L228" s="34"/>
      <c r="M228" s="34"/>
      <c r="N228" s="34"/>
      <c r="O228" s="34"/>
      <c r="P228" s="34"/>
      <c r="Q228" s="34"/>
      <c r="R228" s="34"/>
      <c r="S228" s="34"/>
      <c r="T228" s="34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F228" s="34"/>
      <c r="AG228" s="34"/>
    </row>
    <row r="229" spans="1:33" ht="33" customHeight="1" x14ac:dyDescent="0.2">
      <c r="A229" s="232" t="s">
        <v>343</v>
      </c>
      <c r="B229" s="234" t="s">
        <v>379</v>
      </c>
      <c r="C229" s="228" t="s">
        <v>245</v>
      </c>
      <c r="D229" s="197" t="s">
        <v>408</v>
      </c>
      <c r="E229" s="191">
        <v>2017</v>
      </c>
      <c r="F229" s="14">
        <f t="shared" ref="F229" si="16">SUM(G229:I229)</f>
        <v>2615.6000000000004</v>
      </c>
      <c r="G229" s="14"/>
      <c r="H229" s="14">
        <v>2596.3000000000002</v>
      </c>
      <c r="I229" s="14">
        <v>19.3</v>
      </c>
      <c r="J229" s="14"/>
      <c r="K229" s="197" t="s">
        <v>146</v>
      </c>
      <c r="L229" s="128" t="s">
        <v>355</v>
      </c>
      <c r="M229" s="34"/>
      <c r="N229" s="34"/>
      <c r="O229" s="34"/>
      <c r="P229" s="34"/>
      <c r="Q229" s="34"/>
      <c r="R229" s="34"/>
      <c r="S229" s="34"/>
      <c r="T229" s="34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F229" s="34"/>
      <c r="AG229" s="34"/>
    </row>
    <row r="230" spans="1:33" ht="92.25" customHeight="1" x14ac:dyDescent="0.2">
      <c r="A230" s="233"/>
      <c r="B230" s="235"/>
      <c r="C230" s="236"/>
      <c r="D230" s="205"/>
      <c r="E230" s="32" t="s">
        <v>18</v>
      </c>
      <c r="F230" s="51">
        <f>SUM(F229:F229)</f>
        <v>2615.6000000000004</v>
      </c>
      <c r="G230" s="51">
        <f>SUM(G229:G229)</f>
        <v>0</v>
      </c>
      <c r="H230" s="51">
        <f>SUM(H229:H229)</f>
        <v>2596.3000000000002</v>
      </c>
      <c r="I230" s="51">
        <f>SUM(I229:I229)</f>
        <v>19.3</v>
      </c>
      <c r="J230" s="28"/>
      <c r="K230" s="205"/>
      <c r="L230" s="128"/>
      <c r="M230" s="34"/>
      <c r="N230" s="34"/>
      <c r="O230" s="34"/>
      <c r="P230" s="34"/>
      <c r="Q230" s="34"/>
      <c r="R230" s="34"/>
      <c r="S230" s="34"/>
      <c r="T230" s="34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F230" s="34"/>
      <c r="AG230" s="34"/>
    </row>
    <row r="231" spans="1:33" ht="14.25" customHeight="1" x14ac:dyDescent="0.2">
      <c r="A231" s="328" t="s">
        <v>216</v>
      </c>
      <c r="B231" s="321"/>
      <c r="C231" s="321"/>
      <c r="D231" s="321"/>
      <c r="E231" s="321"/>
      <c r="F231" s="321"/>
      <c r="G231" s="321"/>
      <c r="H231" s="321"/>
      <c r="I231" s="321"/>
      <c r="J231" s="321"/>
      <c r="K231" s="321"/>
      <c r="L231" s="42"/>
      <c r="M231" s="42"/>
      <c r="N231" s="42"/>
      <c r="O231" s="42"/>
      <c r="P231" s="42"/>
      <c r="Q231" s="42"/>
      <c r="R231" s="42"/>
      <c r="S231" s="42"/>
      <c r="T231" s="42"/>
      <c r="U231" s="42"/>
      <c r="V231" s="42"/>
      <c r="W231" s="42"/>
      <c r="X231" s="42"/>
      <c r="Y231" s="42"/>
      <c r="Z231" s="42"/>
      <c r="AA231" s="42"/>
      <c r="AB231" s="42"/>
      <c r="AC231" s="42"/>
      <c r="AD231" s="42"/>
      <c r="AE231" s="42"/>
      <c r="AF231" s="42"/>
      <c r="AG231" s="34"/>
    </row>
    <row r="232" spans="1:33" x14ac:dyDescent="0.2">
      <c r="A232" s="286" t="s">
        <v>119</v>
      </c>
      <c r="B232" s="200" t="s">
        <v>147</v>
      </c>
      <c r="C232" s="228" t="s">
        <v>61</v>
      </c>
      <c r="D232" s="197" t="s">
        <v>408</v>
      </c>
      <c r="E232" s="191">
        <v>2015</v>
      </c>
      <c r="F232" s="14">
        <f>SUM(G232:I232)</f>
        <v>3333.3</v>
      </c>
      <c r="G232" s="14"/>
      <c r="H232" s="14">
        <v>3300</v>
      </c>
      <c r="I232" s="14">
        <v>33.299999999999997</v>
      </c>
      <c r="J232" s="14"/>
      <c r="K232" s="197" t="s">
        <v>146</v>
      </c>
      <c r="L232" s="34"/>
      <c r="M232" s="34"/>
      <c r="N232" s="34"/>
      <c r="O232" s="34"/>
      <c r="P232" s="34"/>
      <c r="Q232" s="34"/>
      <c r="R232" s="34"/>
      <c r="S232" s="34"/>
      <c r="T232" s="34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F232" s="34"/>
      <c r="AG232" s="34"/>
    </row>
    <row r="233" spans="1:33" x14ac:dyDescent="0.2">
      <c r="A233" s="286"/>
      <c r="B233" s="201"/>
      <c r="C233" s="229"/>
      <c r="D233" s="204"/>
      <c r="E233" s="191">
        <v>2016</v>
      </c>
      <c r="F233" s="14">
        <f>SUM(G233:I233)</f>
        <v>7820.0999999999995</v>
      </c>
      <c r="G233" s="14"/>
      <c r="H233" s="14">
        <f>0+7375.9</f>
        <v>7375.9</v>
      </c>
      <c r="I233" s="14">
        <f>369.7+74.5</f>
        <v>444.2</v>
      </c>
      <c r="J233" s="14"/>
      <c r="K233" s="204"/>
    </row>
    <row r="234" spans="1:33" x14ac:dyDescent="0.2">
      <c r="A234" s="286"/>
      <c r="B234" s="201"/>
      <c r="C234" s="229"/>
      <c r="D234" s="204"/>
      <c r="E234" s="191">
        <v>2017</v>
      </c>
      <c r="F234" s="14">
        <f>SUM(G234:I234)</f>
        <v>3699.9</v>
      </c>
      <c r="G234" s="14"/>
      <c r="H234" s="14">
        <v>3662.9</v>
      </c>
      <c r="I234" s="14">
        <v>37</v>
      </c>
      <c r="J234" s="14"/>
      <c r="K234" s="204"/>
      <c r="L234" s="4" t="s">
        <v>380</v>
      </c>
    </row>
    <row r="235" spans="1:33" x14ac:dyDescent="0.2">
      <c r="A235" s="286"/>
      <c r="B235" s="201"/>
      <c r="C235" s="229"/>
      <c r="D235" s="204"/>
      <c r="E235" s="191">
        <v>2018</v>
      </c>
      <c r="F235" s="14"/>
      <c r="G235" s="14"/>
      <c r="H235" s="14"/>
      <c r="I235" s="14"/>
      <c r="J235" s="14"/>
      <c r="K235" s="204"/>
    </row>
    <row r="236" spans="1:33" x14ac:dyDescent="0.2">
      <c r="A236" s="286"/>
      <c r="B236" s="201"/>
      <c r="C236" s="229"/>
      <c r="D236" s="204"/>
      <c r="E236" s="191">
        <v>2019</v>
      </c>
      <c r="F236" s="14"/>
      <c r="G236" s="14"/>
      <c r="H236" s="14"/>
      <c r="I236" s="14"/>
      <c r="J236" s="14"/>
      <c r="K236" s="204"/>
    </row>
    <row r="237" spans="1:33" x14ac:dyDescent="0.2">
      <c r="A237" s="286"/>
      <c r="B237" s="201"/>
      <c r="C237" s="229"/>
      <c r="D237" s="204"/>
      <c r="E237" s="191">
        <v>2020</v>
      </c>
      <c r="F237" s="14"/>
      <c r="G237" s="14"/>
      <c r="H237" s="14"/>
      <c r="I237" s="14"/>
      <c r="J237" s="14"/>
      <c r="K237" s="204"/>
    </row>
    <row r="238" spans="1:33" ht="60.75" customHeight="1" x14ac:dyDescent="0.2">
      <c r="A238" s="286"/>
      <c r="B238" s="201"/>
      <c r="C238" s="236"/>
      <c r="D238" s="205"/>
      <c r="E238" s="24" t="s">
        <v>18</v>
      </c>
      <c r="F238" s="13">
        <f>SUM(F232:F237)</f>
        <v>14853.3</v>
      </c>
      <c r="G238" s="13"/>
      <c r="H238" s="13">
        <f>SUM(H232:H237)</f>
        <v>14338.8</v>
      </c>
      <c r="I238" s="13">
        <f>SUM(I232:I237)</f>
        <v>514.5</v>
      </c>
      <c r="J238" s="14"/>
      <c r="K238" s="205"/>
    </row>
    <row r="239" spans="1:33" ht="15" customHeight="1" x14ac:dyDescent="0.2">
      <c r="A239" s="224" t="s">
        <v>279</v>
      </c>
      <c r="B239" s="226" t="s">
        <v>248</v>
      </c>
      <c r="C239" s="228" t="s">
        <v>217</v>
      </c>
      <c r="D239" s="197" t="s">
        <v>218</v>
      </c>
      <c r="E239" s="191">
        <v>2016</v>
      </c>
      <c r="F239" s="28">
        <f>G239+H239+I239</f>
        <v>10976.3</v>
      </c>
      <c r="G239" s="51"/>
      <c r="H239" s="51"/>
      <c r="I239" s="28">
        <f>5500+3899.9+1247.3+329.1</f>
        <v>10976.3</v>
      </c>
      <c r="J239" s="28"/>
      <c r="K239" s="197" t="s">
        <v>140</v>
      </c>
    </row>
    <row r="240" spans="1:33" ht="13.5" customHeight="1" x14ac:dyDescent="0.2">
      <c r="A240" s="225"/>
      <c r="B240" s="227"/>
      <c r="C240" s="229"/>
      <c r="D240" s="204"/>
      <c r="E240" s="191">
        <v>2017</v>
      </c>
      <c r="F240" s="28">
        <f>G240+H240+I240</f>
        <v>6064</v>
      </c>
      <c r="G240" s="51"/>
      <c r="H240" s="51"/>
      <c r="I240" s="28">
        <f>6314-250</f>
        <v>6064</v>
      </c>
      <c r="J240" s="28"/>
      <c r="K240" s="204"/>
      <c r="L240" s="195"/>
      <c r="M240" s="291"/>
      <c r="N240" s="291"/>
      <c r="O240" s="291"/>
      <c r="P240" s="123" t="s">
        <v>249</v>
      </c>
    </row>
    <row r="241" spans="1:32" ht="18.75" customHeight="1" x14ac:dyDescent="0.2">
      <c r="A241" s="225"/>
      <c r="B241" s="227"/>
      <c r="C241" s="229"/>
      <c r="D241" s="204"/>
      <c r="E241" s="191">
        <v>2018</v>
      </c>
      <c r="F241" s="28">
        <f>G241+H241+I241</f>
        <v>1200</v>
      </c>
      <c r="G241" s="51"/>
      <c r="H241" s="51"/>
      <c r="I241" s="28">
        <f>1000+200</f>
        <v>1200</v>
      </c>
      <c r="J241" s="28"/>
      <c r="K241" s="204"/>
      <c r="L241" s="123"/>
      <c r="M241" s="123" t="s">
        <v>251</v>
      </c>
    </row>
    <row r="242" spans="1:32" ht="16.5" customHeight="1" x14ac:dyDescent="0.2">
      <c r="A242" s="225"/>
      <c r="B242" s="227"/>
      <c r="C242" s="229"/>
      <c r="D242" s="204"/>
      <c r="E242" s="191">
        <v>2019</v>
      </c>
      <c r="F242" s="28">
        <f>G242+H242+I242</f>
        <v>11532.2</v>
      </c>
      <c r="G242" s="51"/>
      <c r="H242" s="51"/>
      <c r="I242" s="28">
        <f>11232.2+300</f>
        <v>11532.2</v>
      </c>
      <c r="J242" s="28"/>
      <c r="K242" s="204"/>
      <c r="L242" s="123"/>
      <c r="M242" s="123" t="s">
        <v>252</v>
      </c>
    </row>
    <row r="243" spans="1:32" ht="15.75" customHeight="1" x14ac:dyDescent="0.2">
      <c r="A243" s="225"/>
      <c r="B243" s="227"/>
      <c r="C243" s="229"/>
      <c r="D243" s="204"/>
      <c r="E243" s="191">
        <v>2020</v>
      </c>
      <c r="F243" s="51"/>
      <c r="G243" s="51"/>
      <c r="H243" s="51"/>
      <c r="I243" s="51"/>
      <c r="J243" s="28"/>
      <c r="K243" s="204"/>
    </row>
    <row r="244" spans="1:32" ht="16.5" customHeight="1" x14ac:dyDescent="0.2">
      <c r="A244" s="287"/>
      <c r="B244" s="211"/>
      <c r="C244" s="236"/>
      <c r="D244" s="205"/>
      <c r="E244" s="32" t="s">
        <v>18</v>
      </c>
      <c r="F244" s="51">
        <f>SUM(F239:F243)</f>
        <v>29772.5</v>
      </c>
      <c r="G244" s="51"/>
      <c r="H244" s="51">
        <v>0</v>
      </c>
      <c r="I244" s="51">
        <f>SUM(I239:I243)</f>
        <v>29772.5</v>
      </c>
      <c r="J244" s="28"/>
      <c r="K244" s="205"/>
    </row>
    <row r="245" spans="1:32" ht="15" customHeight="1" x14ac:dyDescent="0.2">
      <c r="A245" s="328" t="s">
        <v>410</v>
      </c>
      <c r="B245" s="471"/>
      <c r="C245" s="471"/>
      <c r="D245" s="471"/>
      <c r="E245" s="471"/>
      <c r="F245" s="471"/>
      <c r="G245" s="471"/>
      <c r="H245" s="471"/>
      <c r="I245" s="471"/>
      <c r="J245" s="471"/>
      <c r="K245" s="471"/>
      <c r="L245" s="52"/>
      <c r="M245" s="52"/>
      <c r="N245" s="52"/>
      <c r="O245" s="52"/>
      <c r="P245" s="52"/>
      <c r="Q245" s="52"/>
      <c r="R245" s="52"/>
      <c r="S245" s="52"/>
      <c r="T245" s="52"/>
      <c r="U245" s="52"/>
      <c r="V245" s="52"/>
      <c r="W245" s="52"/>
      <c r="X245" s="52"/>
      <c r="Y245" s="52"/>
      <c r="Z245" s="52"/>
      <c r="AA245" s="52"/>
      <c r="AB245" s="52"/>
      <c r="AC245" s="52"/>
      <c r="AD245" s="52"/>
      <c r="AE245" s="52"/>
      <c r="AF245" s="52"/>
    </row>
    <row r="246" spans="1:32" ht="12.75" customHeight="1" x14ac:dyDescent="0.2">
      <c r="A246" s="260" t="s">
        <v>282</v>
      </c>
      <c r="B246" s="200" t="s">
        <v>315</v>
      </c>
      <c r="C246" s="202" t="s">
        <v>61</v>
      </c>
      <c r="D246" s="338" t="s">
        <v>218</v>
      </c>
      <c r="E246" s="191">
        <v>2015</v>
      </c>
      <c r="F246" s="14">
        <f t="shared" ref="F246:F251" si="17">SUM(G246:I246)</f>
        <v>28178.2</v>
      </c>
      <c r="G246" s="14"/>
      <c r="H246" s="14"/>
      <c r="I246" s="14">
        <f>27846.2+850-518</f>
        <v>28178.2</v>
      </c>
      <c r="J246" s="14"/>
      <c r="K246" s="197" t="s">
        <v>138</v>
      </c>
      <c r="L246" s="128"/>
      <c r="M246" s="34"/>
      <c r="N246" s="34"/>
      <c r="O246" s="34"/>
      <c r="P246" s="34"/>
      <c r="Q246" s="34"/>
      <c r="R246" s="34"/>
      <c r="S246" s="34"/>
      <c r="T246" s="34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F246" s="34"/>
    </row>
    <row r="247" spans="1:32" ht="12.75" customHeight="1" x14ac:dyDescent="0.2">
      <c r="A247" s="260"/>
      <c r="B247" s="201"/>
      <c r="C247" s="202"/>
      <c r="D247" s="338"/>
      <c r="E247" s="191">
        <v>2016</v>
      </c>
      <c r="F247" s="14">
        <f t="shared" si="17"/>
        <v>27397.3</v>
      </c>
      <c r="G247" s="14"/>
      <c r="H247" s="14"/>
      <c r="I247" s="14">
        <f>29107-180-453.2-1076.5</f>
        <v>27397.3</v>
      </c>
      <c r="J247" s="14"/>
      <c r="K247" s="204"/>
      <c r="L247" s="53"/>
      <c r="M247" s="34"/>
      <c r="N247" s="34"/>
      <c r="O247" s="34"/>
      <c r="P247" s="34"/>
      <c r="Q247" s="34"/>
      <c r="R247" s="34"/>
      <c r="S247" s="34"/>
      <c r="T247" s="34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F247" s="34"/>
    </row>
    <row r="248" spans="1:32" ht="12.75" customHeight="1" x14ac:dyDescent="0.2">
      <c r="A248" s="260"/>
      <c r="B248" s="201"/>
      <c r="C248" s="202"/>
      <c r="D248" s="338"/>
      <c r="E248" s="191">
        <v>2017</v>
      </c>
      <c r="F248" s="14">
        <f t="shared" si="17"/>
        <v>60180.4</v>
      </c>
      <c r="G248" s="14"/>
      <c r="H248" s="14"/>
      <c r="I248" s="14">
        <f>28167.4+27751.9+4261.1</f>
        <v>60180.4</v>
      </c>
      <c r="J248" s="14"/>
      <c r="K248" s="204"/>
      <c r="L248" s="128"/>
      <c r="M248" s="128" t="s">
        <v>370</v>
      </c>
      <c r="N248" s="34"/>
      <c r="O248" s="128" t="s">
        <v>366</v>
      </c>
      <c r="P248" s="128">
        <v>861.1</v>
      </c>
      <c r="Q248" s="34"/>
      <c r="R248" s="34"/>
      <c r="S248" s="34"/>
      <c r="T248" s="34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F248" s="34"/>
    </row>
    <row r="249" spans="1:32" ht="12.75" customHeight="1" x14ac:dyDescent="0.2">
      <c r="A249" s="260"/>
      <c r="B249" s="201"/>
      <c r="C249" s="202"/>
      <c r="D249" s="338"/>
      <c r="E249" s="191">
        <v>2018</v>
      </c>
      <c r="F249" s="14">
        <f t="shared" si="17"/>
        <v>18702.8</v>
      </c>
      <c r="G249" s="14"/>
      <c r="H249" s="14"/>
      <c r="I249" s="14">
        <f>18191.2+511.6</f>
        <v>18702.8</v>
      </c>
      <c r="J249" s="14"/>
      <c r="K249" s="204"/>
      <c r="L249" s="128"/>
      <c r="M249" s="128"/>
      <c r="N249" s="34"/>
      <c r="O249" s="34"/>
      <c r="P249" s="34"/>
      <c r="Q249" s="34"/>
      <c r="R249" s="34"/>
      <c r="S249" s="34"/>
      <c r="T249" s="34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F249" s="34"/>
    </row>
    <row r="250" spans="1:32" ht="12.75" customHeight="1" x14ac:dyDescent="0.2">
      <c r="A250" s="260"/>
      <c r="B250" s="201"/>
      <c r="C250" s="202"/>
      <c r="D250" s="338"/>
      <c r="E250" s="191">
        <v>2019</v>
      </c>
      <c r="F250" s="14">
        <f t="shared" si="17"/>
        <v>21130.9</v>
      </c>
      <c r="G250" s="14"/>
      <c r="H250" s="14"/>
      <c r="I250" s="14">
        <f>29360.4-8229.5</f>
        <v>21130.9</v>
      </c>
      <c r="J250" s="14"/>
      <c r="K250" s="204"/>
      <c r="L250" s="128"/>
      <c r="M250" s="128"/>
      <c r="N250" s="34"/>
      <c r="O250" s="34"/>
      <c r="P250" s="34"/>
      <c r="Q250" s="34"/>
      <c r="R250" s="34"/>
      <c r="S250" s="34"/>
      <c r="T250" s="34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F250" s="34"/>
    </row>
    <row r="251" spans="1:32" ht="12.75" customHeight="1" x14ac:dyDescent="0.2">
      <c r="A251" s="260"/>
      <c r="B251" s="201"/>
      <c r="C251" s="202"/>
      <c r="D251" s="338"/>
      <c r="E251" s="191">
        <v>2020</v>
      </c>
      <c r="F251" s="14">
        <f t="shared" si="17"/>
        <v>28083.200000000001</v>
      </c>
      <c r="G251" s="14"/>
      <c r="H251" s="14"/>
      <c r="I251" s="14">
        <v>28083.200000000001</v>
      </c>
      <c r="J251" s="14"/>
      <c r="K251" s="204"/>
      <c r="L251" s="34"/>
      <c r="M251" s="34"/>
      <c r="N251" s="34"/>
      <c r="O251" s="34"/>
      <c r="P251" s="34"/>
      <c r="Q251" s="34"/>
      <c r="R251" s="34"/>
      <c r="S251" s="34"/>
      <c r="T251" s="34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F251" s="34"/>
    </row>
    <row r="252" spans="1:32" ht="36" customHeight="1" x14ac:dyDescent="0.2">
      <c r="A252" s="260"/>
      <c r="B252" s="201"/>
      <c r="C252" s="202"/>
      <c r="D252" s="338"/>
      <c r="E252" s="32" t="s">
        <v>18</v>
      </c>
      <c r="F252" s="51">
        <f>SUM(F246:F251)</f>
        <v>183672.8</v>
      </c>
      <c r="G252" s="51"/>
      <c r="H252" s="51"/>
      <c r="I252" s="51">
        <f>SUM(I246:I251)</f>
        <v>183672.8</v>
      </c>
      <c r="J252" s="28"/>
      <c r="K252" s="205"/>
    </row>
    <row r="253" spans="1:32" ht="12.75" customHeight="1" x14ac:dyDescent="0.2">
      <c r="A253" s="260" t="s">
        <v>283</v>
      </c>
      <c r="B253" s="200" t="s">
        <v>264</v>
      </c>
      <c r="C253" s="202" t="s">
        <v>61</v>
      </c>
      <c r="D253" s="338" t="s">
        <v>218</v>
      </c>
      <c r="E253" s="191">
        <v>2017</v>
      </c>
      <c r="F253" s="14">
        <f t="shared" ref="F253:F256" si="18">SUM(G253:I253)</f>
        <v>4240.7</v>
      </c>
      <c r="G253" s="14"/>
      <c r="H253" s="14"/>
      <c r="I253" s="14">
        <f>4186+54.7</f>
        <v>4240.7</v>
      </c>
      <c r="J253" s="14"/>
      <c r="K253" s="197" t="s">
        <v>272</v>
      </c>
      <c r="L253" s="128"/>
      <c r="M253" s="34"/>
      <c r="N253" s="34"/>
      <c r="O253" s="34"/>
      <c r="P253" s="34"/>
      <c r="Q253" s="34"/>
      <c r="R253" s="34"/>
      <c r="S253" s="34"/>
      <c r="T253" s="34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F253" s="34"/>
    </row>
    <row r="254" spans="1:32" ht="12.75" customHeight="1" x14ac:dyDescent="0.2">
      <c r="A254" s="260"/>
      <c r="B254" s="201"/>
      <c r="C254" s="202"/>
      <c r="D254" s="338"/>
      <c r="E254" s="191">
        <v>2018</v>
      </c>
      <c r="F254" s="14">
        <f t="shared" si="18"/>
        <v>0</v>
      </c>
      <c r="G254" s="14"/>
      <c r="H254" s="14"/>
      <c r="I254" s="14"/>
      <c r="J254" s="14"/>
      <c r="K254" s="204"/>
      <c r="L254" s="53"/>
      <c r="M254" s="34"/>
      <c r="N254" s="34"/>
      <c r="O254" s="34"/>
      <c r="P254" s="34"/>
      <c r="Q254" s="34"/>
      <c r="R254" s="34"/>
      <c r="S254" s="34"/>
      <c r="T254" s="34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F254" s="34"/>
    </row>
    <row r="255" spans="1:32" ht="12.75" customHeight="1" x14ac:dyDescent="0.2">
      <c r="A255" s="260"/>
      <c r="B255" s="201"/>
      <c r="C255" s="202"/>
      <c r="D255" s="338"/>
      <c r="E255" s="191">
        <v>2019</v>
      </c>
      <c r="F255" s="14">
        <f t="shared" si="18"/>
        <v>0</v>
      </c>
      <c r="G255" s="14"/>
      <c r="H255" s="14"/>
      <c r="I255" s="14"/>
      <c r="J255" s="14"/>
      <c r="K255" s="204"/>
      <c r="L255" s="128"/>
      <c r="M255" s="128" t="s">
        <v>253</v>
      </c>
      <c r="N255" s="34"/>
      <c r="O255" s="34"/>
      <c r="P255" s="128"/>
      <c r="Q255" s="34"/>
      <c r="R255" s="34"/>
      <c r="S255" s="34"/>
      <c r="T255" s="34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F255" s="34"/>
    </row>
    <row r="256" spans="1:32" ht="12.75" customHeight="1" x14ac:dyDescent="0.2">
      <c r="A256" s="260"/>
      <c r="B256" s="201"/>
      <c r="C256" s="202"/>
      <c r="D256" s="338"/>
      <c r="E256" s="191">
        <v>2020</v>
      </c>
      <c r="F256" s="14">
        <f t="shared" si="18"/>
        <v>0</v>
      </c>
      <c r="G256" s="14"/>
      <c r="H256" s="14"/>
      <c r="I256" s="14"/>
      <c r="J256" s="14"/>
      <c r="K256" s="204"/>
      <c r="L256" s="128"/>
      <c r="M256" s="128" t="s">
        <v>254</v>
      </c>
      <c r="N256" s="34"/>
      <c r="O256" s="34"/>
      <c r="P256" s="34"/>
      <c r="Q256" s="34"/>
      <c r="R256" s="34"/>
      <c r="S256" s="34"/>
      <c r="T256" s="34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F256" s="34"/>
    </row>
    <row r="257" spans="1:32" ht="36" customHeight="1" x14ac:dyDescent="0.2">
      <c r="A257" s="260"/>
      <c r="B257" s="201"/>
      <c r="C257" s="202"/>
      <c r="D257" s="338"/>
      <c r="E257" s="32" t="s">
        <v>18</v>
      </c>
      <c r="F257" s="51">
        <f>SUM(F253:F256)</f>
        <v>4240.7</v>
      </c>
      <c r="G257" s="51"/>
      <c r="H257" s="51"/>
      <c r="I257" s="51">
        <f>SUM(I253:I256)</f>
        <v>4240.7</v>
      </c>
      <c r="J257" s="28"/>
      <c r="K257" s="205"/>
      <c r="N257" s="123" t="s">
        <v>344</v>
      </c>
      <c r="P257" s="123" t="s">
        <v>345</v>
      </c>
    </row>
    <row r="258" spans="1:32" ht="12.75" customHeight="1" x14ac:dyDescent="0.2">
      <c r="A258" s="260" t="s">
        <v>291</v>
      </c>
      <c r="B258" s="200" t="s">
        <v>265</v>
      </c>
      <c r="C258" s="202" t="s">
        <v>61</v>
      </c>
      <c r="D258" s="338" t="s">
        <v>218</v>
      </c>
      <c r="E258" s="191">
        <v>2017</v>
      </c>
      <c r="F258" s="14">
        <f t="shared" ref="F258:F261" si="19">SUM(G258:I258)</f>
        <v>50179.899999999994</v>
      </c>
      <c r="G258" s="14"/>
      <c r="H258" s="14">
        <f>39366.1+2524.5-9876.8</f>
        <v>32013.8</v>
      </c>
      <c r="I258" s="14">
        <f>19299.3-1133.2</f>
        <v>18166.099999999999</v>
      </c>
      <c r="J258" s="14"/>
      <c r="K258" s="197" t="s">
        <v>273</v>
      </c>
      <c r="L258" s="128" t="s">
        <v>364</v>
      </c>
      <c r="M258" s="128" t="s">
        <v>363</v>
      </c>
      <c r="N258" s="34"/>
      <c r="O258" s="34"/>
      <c r="P258" s="128" t="s">
        <v>365</v>
      </c>
      <c r="Q258" s="34"/>
      <c r="R258" s="128" t="s">
        <v>348</v>
      </c>
      <c r="S258" s="34"/>
      <c r="T258" s="34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F258" s="34"/>
    </row>
    <row r="259" spans="1:32" ht="12.75" customHeight="1" x14ac:dyDescent="0.2">
      <c r="A259" s="260"/>
      <c r="B259" s="201"/>
      <c r="C259" s="202"/>
      <c r="D259" s="338"/>
      <c r="E259" s="191">
        <v>2018</v>
      </c>
      <c r="F259" s="14">
        <f t="shared" si="19"/>
        <v>0</v>
      </c>
      <c r="G259" s="14"/>
      <c r="H259" s="14"/>
      <c r="I259" s="14"/>
      <c r="J259" s="14"/>
      <c r="K259" s="204"/>
      <c r="L259" s="53"/>
      <c r="M259" s="34"/>
      <c r="N259" s="34"/>
      <c r="O259" s="34"/>
      <c r="P259" s="34"/>
      <c r="Q259" s="34"/>
      <c r="R259" s="34"/>
      <c r="S259" s="34"/>
      <c r="T259" s="34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F259" s="34"/>
    </row>
    <row r="260" spans="1:32" ht="12.75" customHeight="1" x14ac:dyDescent="0.2">
      <c r="A260" s="260"/>
      <c r="B260" s="201"/>
      <c r="C260" s="202"/>
      <c r="D260" s="338"/>
      <c r="E260" s="191">
        <v>2019</v>
      </c>
      <c r="F260" s="14">
        <f t="shared" si="19"/>
        <v>0</v>
      </c>
      <c r="G260" s="14"/>
      <c r="H260" s="14"/>
      <c r="I260" s="14"/>
      <c r="J260" s="14"/>
      <c r="K260" s="204"/>
      <c r="L260" s="128"/>
      <c r="M260" s="128" t="s">
        <v>253</v>
      </c>
      <c r="N260" s="34"/>
      <c r="O260" s="34"/>
      <c r="P260" s="128"/>
      <c r="Q260" s="34"/>
      <c r="R260" s="34"/>
      <c r="S260" s="34"/>
      <c r="T260" s="34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F260" s="34"/>
    </row>
    <row r="261" spans="1:32" ht="12.75" customHeight="1" x14ac:dyDescent="0.2">
      <c r="A261" s="260"/>
      <c r="B261" s="201"/>
      <c r="C261" s="202"/>
      <c r="D261" s="338"/>
      <c r="E261" s="191">
        <v>2020</v>
      </c>
      <c r="F261" s="14">
        <f t="shared" si="19"/>
        <v>0</v>
      </c>
      <c r="G261" s="14"/>
      <c r="H261" s="14"/>
      <c r="I261" s="14"/>
      <c r="J261" s="14"/>
      <c r="K261" s="204"/>
      <c r="L261" s="128"/>
      <c r="M261" s="128" t="s">
        <v>254</v>
      </c>
      <c r="N261" s="34"/>
      <c r="O261" s="34"/>
      <c r="P261" s="34"/>
      <c r="Q261" s="34"/>
      <c r="R261" s="149"/>
      <c r="S261" s="34"/>
      <c r="T261" s="34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F261" s="34"/>
    </row>
    <row r="262" spans="1:32" ht="36" customHeight="1" x14ac:dyDescent="0.2">
      <c r="A262" s="260"/>
      <c r="B262" s="201"/>
      <c r="C262" s="202"/>
      <c r="D262" s="338"/>
      <c r="E262" s="32" t="s">
        <v>18</v>
      </c>
      <c r="F262" s="51">
        <f>SUM(F258:F261)</f>
        <v>50179.899999999994</v>
      </c>
      <c r="G262" s="51"/>
      <c r="H262" s="51">
        <f>SUM(H258:H261)</f>
        <v>32013.8</v>
      </c>
      <c r="I262" s="51">
        <f>SUM(I258:I261)</f>
        <v>18166.099999999999</v>
      </c>
      <c r="J262" s="28"/>
      <c r="K262" s="205"/>
    </row>
    <row r="263" spans="1:32" ht="12.75" customHeight="1" x14ac:dyDescent="0.2">
      <c r="A263" s="470" t="s">
        <v>309</v>
      </c>
      <c r="B263" s="237" t="s">
        <v>310</v>
      </c>
      <c r="C263" s="202" t="s">
        <v>313</v>
      </c>
      <c r="D263" s="338" t="s">
        <v>218</v>
      </c>
      <c r="E263" s="191">
        <v>2017</v>
      </c>
      <c r="F263" s="14">
        <f t="shared" ref="F263:F266" si="20">SUM(G263:I263)</f>
        <v>12698.3</v>
      </c>
      <c r="G263" s="14"/>
      <c r="H263" s="14"/>
      <c r="I263" s="14">
        <f>12064+626.3+8</f>
        <v>12698.3</v>
      </c>
      <c r="J263" s="14"/>
      <c r="K263" s="247" t="s">
        <v>397</v>
      </c>
      <c r="L263" s="128" t="s">
        <v>361</v>
      </c>
      <c r="M263" s="128"/>
      <c r="N263" s="34"/>
      <c r="O263" s="34"/>
      <c r="P263" s="34"/>
      <c r="Q263" s="34"/>
      <c r="R263" s="34"/>
      <c r="S263" s="34"/>
      <c r="T263" s="34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F263" s="34"/>
    </row>
    <row r="264" spans="1:32" ht="12.75" customHeight="1" x14ac:dyDescent="0.2">
      <c r="A264" s="470"/>
      <c r="B264" s="428"/>
      <c r="C264" s="202"/>
      <c r="D264" s="338"/>
      <c r="E264" s="191">
        <v>2018</v>
      </c>
      <c r="F264" s="14">
        <f t="shared" si="20"/>
        <v>0</v>
      </c>
      <c r="G264" s="14"/>
      <c r="H264" s="14"/>
      <c r="I264" s="14"/>
      <c r="J264" s="14"/>
      <c r="K264" s="385"/>
      <c r="L264" s="53"/>
      <c r="M264" s="34"/>
      <c r="N264" s="34"/>
      <c r="O264" s="34"/>
      <c r="P264" s="34"/>
      <c r="Q264" s="34"/>
      <c r="R264" s="34"/>
      <c r="S264" s="34"/>
      <c r="T264" s="34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F264" s="34"/>
    </row>
    <row r="265" spans="1:32" ht="12.75" customHeight="1" x14ac:dyDescent="0.2">
      <c r="A265" s="470"/>
      <c r="B265" s="428"/>
      <c r="C265" s="202"/>
      <c r="D265" s="338"/>
      <c r="E265" s="191">
        <v>2019</v>
      </c>
      <c r="F265" s="14">
        <f t="shared" si="20"/>
        <v>0</v>
      </c>
      <c r="G265" s="14"/>
      <c r="H265" s="14"/>
      <c r="I265" s="14"/>
      <c r="J265" s="14"/>
      <c r="K265" s="385"/>
      <c r="L265" s="128"/>
      <c r="M265" s="128"/>
      <c r="N265" s="34"/>
      <c r="O265" s="34"/>
      <c r="P265" s="128"/>
      <c r="Q265" s="34"/>
      <c r="R265" s="34"/>
      <c r="S265" s="34"/>
      <c r="T265" s="34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F265" s="34"/>
    </row>
    <row r="266" spans="1:32" ht="12.75" customHeight="1" x14ac:dyDescent="0.2">
      <c r="A266" s="470"/>
      <c r="B266" s="428"/>
      <c r="C266" s="202"/>
      <c r="D266" s="338"/>
      <c r="E266" s="191">
        <v>2020</v>
      </c>
      <c r="F266" s="14">
        <f t="shared" si="20"/>
        <v>0</v>
      </c>
      <c r="G266" s="14"/>
      <c r="H266" s="14"/>
      <c r="I266" s="14"/>
      <c r="J266" s="14"/>
      <c r="K266" s="385"/>
      <c r="L266" s="128"/>
      <c r="M266" s="128"/>
      <c r="N266" s="34"/>
      <c r="O266" s="34"/>
      <c r="P266" s="34"/>
      <c r="Q266" s="34"/>
      <c r="R266" s="34"/>
      <c r="S266" s="34"/>
      <c r="T266" s="34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F266" s="34"/>
    </row>
    <row r="267" spans="1:32" ht="36" customHeight="1" x14ac:dyDescent="0.2">
      <c r="A267" s="470"/>
      <c r="B267" s="428"/>
      <c r="C267" s="202"/>
      <c r="D267" s="338"/>
      <c r="E267" s="32" t="s">
        <v>18</v>
      </c>
      <c r="F267" s="51">
        <f>SUM(F263:F266)</f>
        <v>12698.3</v>
      </c>
      <c r="G267" s="51"/>
      <c r="H267" s="51">
        <f>SUM(H263:H266)</f>
        <v>0</v>
      </c>
      <c r="I267" s="51">
        <f>SUM(I263:I266)</f>
        <v>12698.3</v>
      </c>
      <c r="J267" s="28"/>
      <c r="K267" s="386"/>
    </row>
    <row r="268" spans="1:32" ht="12.75" customHeight="1" x14ac:dyDescent="0.2">
      <c r="A268" s="470" t="s">
        <v>311</v>
      </c>
      <c r="B268" s="237" t="s">
        <v>312</v>
      </c>
      <c r="C268" s="202" t="s">
        <v>313</v>
      </c>
      <c r="D268" s="338" t="s">
        <v>218</v>
      </c>
      <c r="E268" s="191">
        <v>2017</v>
      </c>
      <c r="F268" s="14">
        <f t="shared" ref="F268:F271" si="21">SUM(G268:I268)</f>
        <v>7165.3</v>
      </c>
      <c r="G268" s="14"/>
      <c r="H268" s="14"/>
      <c r="I268" s="14">
        <v>7165.3</v>
      </c>
      <c r="J268" s="14"/>
      <c r="K268" s="247" t="s">
        <v>398</v>
      </c>
      <c r="L268" s="128" t="s">
        <v>381</v>
      </c>
      <c r="M268" s="128"/>
      <c r="N268" s="128" t="s">
        <v>362</v>
      </c>
      <c r="O268" s="34"/>
      <c r="P268" s="34"/>
      <c r="Q268" s="34"/>
      <c r="R268" s="34"/>
      <c r="S268" s="34"/>
      <c r="T268" s="34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F268" s="34"/>
    </row>
    <row r="269" spans="1:32" ht="12.75" customHeight="1" x14ac:dyDescent="0.2">
      <c r="A269" s="470"/>
      <c r="B269" s="428"/>
      <c r="C269" s="202"/>
      <c r="D269" s="338"/>
      <c r="E269" s="191">
        <v>2018</v>
      </c>
      <c r="F269" s="14">
        <f t="shared" si="21"/>
        <v>0</v>
      </c>
      <c r="G269" s="14"/>
      <c r="H269" s="14"/>
      <c r="I269" s="14"/>
      <c r="J269" s="14"/>
      <c r="K269" s="248"/>
      <c r="L269" s="53"/>
      <c r="M269" s="34"/>
      <c r="N269" s="34"/>
      <c r="O269" s="34"/>
      <c r="P269" s="34"/>
      <c r="Q269" s="34"/>
      <c r="R269" s="34"/>
      <c r="S269" s="34"/>
      <c r="T269" s="34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F269" s="34"/>
    </row>
    <row r="270" spans="1:32" ht="12.75" customHeight="1" x14ac:dyDescent="0.2">
      <c r="A270" s="470"/>
      <c r="B270" s="428"/>
      <c r="C270" s="202"/>
      <c r="D270" s="338"/>
      <c r="E270" s="191">
        <v>2019</v>
      </c>
      <c r="F270" s="14">
        <f t="shared" si="21"/>
        <v>0</v>
      </c>
      <c r="G270" s="14"/>
      <c r="H270" s="14"/>
      <c r="I270" s="14"/>
      <c r="J270" s="14"/>
      <c r="K270" s="248"/>
      <c r="L270" s="128"/>
      <c r="M270" s="128"/>
      <c r="N270" s="34"/>
      <c r="O270" s="34"/>
      <c r="P270" s="128"/>
      <c r="Q270" s="34"/>
      <c r="R270" s="34"/>
      <c r="S270" s="34"/>
      <c r="T270" s="34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F270" s="34"/>
    </row>
    <row r="271" spans="1:32" ht="12.75" customHeight="1" x14ac:dyDescent="0.2">
      <c r="A271" s="470"/>
      <c r="B271" s="428"/>
      <c r="C271" s="202"/>
      <c r="D271" s="338"/>
      <c r="E271" s="191">
        <v>2020</v>
      </c>
      <c r="F271" s="14">
        <f t="shared" si="21"/>
        <v>0</v>
      </c>
      <c r="G271" s="14"/>
      <c r="H271" s="14"/>
      <c r="I271" s="14"/>
      <c r="J271" s="14"/>
      <c r="K271" s="248"/>
      <c r="L271" s="128"/>
      <c r="M271" s="128"/>
      <c r="N271" s="34"/>
      <c r="O271" s="34"/>
      <c r="P271" s="34"/>
      <c r="Q271" s="34"/>
      <c r="R271" s="34"/>
      <c r="S271" s="34"/>
      <c r="T271" s="34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F271" s="34"/>
    </row>
    <row r="272" spans="1:32" ht="36" customHeight="1" x14ac:dyDescent="0.2">
      <c r="A272" s="470"/>
      <c r="B272" s="428"/>
      <c r="C272" s="202"/>
      <c r="D272" s="338"/>
      <c r="E272" s="32" t="s">
        <v>18</v>
      </c>
      <c r="F272" s="51">
        <f>SUM(F268:F271)</f>
        <v>7165.3</v>
      </c>
      <c r="G272" s="51"/>
      <c r="H272" s="51">
        <f>SUM(H268:H271)</f>
        <v>0</v>
      </c>
      <c r="I272" s="51">
        <f>SUM(I268:I271)</f>
        <v>7165.3</v>
      </c>
      <c r="J272" s="28"/>
      <c r="K272" s="476"/>
    </row>
    <row r="273" spans="1:36" ht="16.5" customHeight="1" x14ac:dyDescent="0.2">
      <c r="A273" s="472" t="s">
        <v>220</v>
      </c>
      <c r="B273" s="473"/>
      <c r="C273" s="473"/>
      <c r="D273" s="473"/>
      <c r="E273" s="32" t="s">
        <v>18</v>
      </c>
      <c r="F273" s="17">
        <f>F252+F238+F221+F208+F201+F244+F224+F226+F213+F257+F262+F267+F272+F230+F228</f>
        <v>642423.79999999993</v>
      </c>
      <c r="G273" s="19"/>
      <c r="H273" s="17">
        <f>H201+H208+H213+H221+H224+H226+H228+H230+H238+H244+H252+H257+H262+H267+H272</f>
        <v>309696.5</v>
      </c>
      <c r="I273" s="17">
        <f>I201+I208+I213+I221+I224+I226+I228+I230+I238+I244+I252+I257+I262+I267+I272</f>
        <v>332727.29999999993</v>
      </c>
      <c r="J273" s="44"/>
      <c r="K273" s="43"/>
      <c r="L273" s="151"/>
      <c r="M273" s="152"/>
      <c r="N273" s="152"/>
      <c r="O273" s="123"/>
    </row>
    <row r="274" spans="1:36" ht="18.75" customHeight="1" x14ac:dyDescent="0.25">
      <c r="A274" s="474" t="s">
        <v>62</v>
      </c>
      <c r="B274" s="474"/>
      <c r="C274" s="474"/>
      <c r="D274" s="474"/>
      <c r="E274" s="474"/>
      <c r="F274" s="474"/>
      <c r="G274" s="474"/>
      <c r="H274" s="474"/>
      <c r="I274" s="474"/>
      <c r="J274" s="474"/>
      <c r="K274" s="474"/>
    </row>
    <row r="275" spans="1:36" ht="31.5" customHeight="1" x14ac:dyDescent="0.2">
      <c r="A275" s="475" t="s">
        <v>63</v>
      </c>
      <c r="B275" s="323"/>
      <c r="C275" s="323"/>
      <c r="D275" s="323"/>
      <c r="E275" s="323"/>
      <c r="F275" s="323"/>
      <c r="G275" s="323"/>
      <c r="H275" s="323"/>
      <c r="I275" s="323"/>
      <c r="J275" s="323"/>
      <c r="K275" s="323"/>
      <c r="L275" s="54"/>
      <c r="M275" s="54"/>
      <c r="N275" s="54"/>
      <c r="O275" s="54"/>
      <c r="P275" s="54"/>
      <c r="Q275" s="54"/>
      <c r="R275" s="54"/>
      <c r="S275" s="54"/>
      <c r="T275" s="54"/>
      <c r="U275" s="54"/>
      <c r="V275" s="54"/>
      <c r="W275" s="54"/>
      <c r="X275" s="54"/>
      <c r="Y275" s="54"/>
      <c r="Z275" s="54"/>
      <c r="AA275" s="54"/>
      <c r="AB275" s="54"/>
      <c r="AC275" s="54"/>
      <c r="AD275" s="54"/>
      <c r="AE275" s="54"/>
      <c r="AF275" s="54"/>
      <c r="AG275" s="34"/>
      <c r="AH275" s="34"/>
      <c r="AI275" s="34"/>
      <c r="AJ275" s="34"/>
    </row>
    <row r="276" spans="1:36" x14ac:dyDescent="0.2">
      <c r="A276" s="260" t="s">
        <v>64</v>
      </c>
      <c r="B276" s="249" t="s">
        <v>237</v>
      </c>
      <c r="C276" s="228" t="s">
        <v>61</v>
      </c>
      <c r="D276" s="197" t="s">
        <v>218</v>
      </c>
      <c r="E276" s="191">
        <v>2015</v>
      </c>
      <c r="F276" s="14">
        <f t="shared" ref="F276:F281" si="22">SUM(G276:J276)</f>
        <v>471461.89999999997</v>
      </c>
      <c r="G276" s="14"/>
      <c r="H276" s="14">
        <f>457488.8+13973.1</f>
        <v>471461.89999999997</v>
      </c>
      <c r="I276" s="14"/>
      <c r="J276" s="14"/>
      <c r="K276" s="197" t="s">
        <v>266</v>
      </c>
    </row>
    <row r="277" spans="1:36" x14ac:dyDescent="0.2">
      <c r="A277" s="260"/>
      <c r="B277" s="250"/>
      <c r="C277" s="229"/>
      <c r="D277" s="204"/>
      <c r="E277" s="191">
        <v>2016</v>
      </c>
      <c r="F277" s="14">
        <f t="shared" si="22"/>
        <v>485636.2</v>
      </c>
      <c r="G277" s="14"/>
      <c r="H277" s="14">
        <f>503346-17709.8</f>
        <v>485636.2</v>
      </c>
      <c r="I277" s="14"/>
      <c r="J277" s="14"/>
      <c r="K277" s="204"/>
      <c r="L277" s="123"/>
    </row>
    <row r="278" spans="1:36" x14ac:dyDescent="0.2">
      <c r="A278" s="260"/>
      <c r="B278" s="250"/>
      <c r="C278" s="229"/>
      <c r="D278" s="204"/>
      <c r="E278" s="191">
        <v>2017</v>
      </c>
      <c r="F278" s="14">
        <f t="shared" si="22"/>
        <v>490057.5</v>
      </c>
      <c r="G278" s="14"/>
      <c r="H278" s="14">
        <f>478983.8+11073.7</f>
        <v>490057.5</v>
      </c>
      <c r="I278" s="14"/>
      <c r="J278" s="14"/>
      <c r="K278" s="204"/>
      <c r="L278" s="123"/>
      <c r="M278" s="130"/>
      <c r="N278" s="123" t="s">
        <v>359</v>
      </c>
      <c r="P278" s="123" t="s">
        <v>360</v>
      </c>
    </row>
    <row r="279" spans="1:36" x14ac:dyDescent="0.2">
      <c r="A279" s="260"/>
      <c r="B279" s="250"/>
      <c r="C279" s="229"/>
      <c r="D279" s="204"/>
      <c r="E279" s="191">
        <v>2018</v>
      </c>
      <c r="F279" s="14">
        <f t="shared" si="22"/>
        <v>406742.8</v>
      </c>
      <c r="G279" s="14"/>
      <c r="H279" s="14">
        <f>731140-0-324397.2</f>
        <v>406742.8</v>
      </c>
      <c r="I279" s="14"/>
      <c r="J279" s="14"/>
      <c r="K279" s="204"/>
      <c r="L279" s="123"/>
      <c r="M279" s="130"/>
      <c r="N279" s="123" t="s">
        <v>256</v>
      </c>
    </row>
    <row r="280" spans="1:36" x14ac:dyDescent="0.2">
      <c r="A280" s="260"/>
      <c r="B280" s="250"/>
      <c r="C280" s="229"/>
      <c r="D280" s="204"/>
      <c r="E280" s="191">
        <v>2019</v>
      </c>
      <c r="F280" s="14">
        <f t="shared" si="22"/>
        <v>426556.3</v>
      </c>
      <c r="G280" s="14"/>
      <c r="H280" s="14">
        <f>773900-347343.7</f>
        <v>426556.3</v>
      </c>
      <c r="I280" s="14"/>
      <c r="J280" s="14"/>
      <c r="K280" s="204"/>
      <c r="L280" s="123"/>
      <c r="M280" s="130"/>
      <c r="N280" s="123" t="s">
        <v>257</v>
      </c>
    </row>
    <row r="281" spans="1:36" x14ac:dyDescent="0.2">
      <c r="A281" s="260"/>
      <c r="B281" s="250"/>
      <c r="C281" s="229"/>
      <c r="D281" s="204"/>
      <c r="E281" s="191">
        <v>2020</v>
      </c>
      <c r="F281" s="14">
        <f t="shared" si="22"/>
        <v>823140</v>
      </c>
      <c r="G281" s="14"/>
      <c r="H281" s="14">
        <v>823140</v>
      </c>
      <c r="I281" s="14"/>
      <c r="J281" s="14"/>
      <c r="K281" s="204"/>
      <c r="L281" s="34"/>
      <c r="M281" s="34"/>
      <c r="N281" s="34"/>
      <c r="O281" s="34"/>
      <c r="P281" s="34"/>
      <c r="Q281" s="34"/>
      <c r="R281" s="34"/>
      <c r="S281" s="34"/>
      <c r="T281" s="34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F281" s="34"/>
    </row>
    <row r="282" spans="1:36" ht="78.75" customHeight="1" x14ac:dyDescent="0.2">
      <c r="A282" s="260"/>
      <c r="B282" s="251"/>
      <c r="C282" s="236"/>
      <c r="D282" s="204"/>
      <c r="E282" s="24" t="s">
        <v>18</v>
      </c>
      <c r="F282" s="13">
        <f>SUM(F276:F281)</f>
        <v>3103594.7</v>
      </c>
      <c r="G282" s="13"/>
      <c r="H282" s="13">
        <f>SUM(H276:H281)</f>
        <v>3103594.7</v>
      </c>
      <c r="I282" s="13"/>
      <c r="J282" s="13"/>
      <c r="K282" s="205"/>
      <c r="L282" s="34"/>
      <c r="M282" s="34"/>
      <c r="N282" s="34"/>
      <c r="O282" s="34"/>
      <c r="P282" s="34"/>
      <c r="Q282" s="34"/>
      <c r="R282" s="34"/>
      <c r="S282" s="34"/>
      <c r="T282" s="34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F282" s="34"/>
    </row>
    <row r="283" spans="1:36" x14ac:dyDescent="0.2">
      <c r="A283" s="260" t="s">
        <v>292</v>
      </c>
      <c r="B283" s="249" t="s">
        <v>267</v>
      </c>
      <c r="C283" s="228" t="s">
        <v>61</v>
      </c>
      <c r="D283" s="197" t="s">
        <v>218</v>
      </c>
      <c r="E283" s="191">
        <v>2017</v>
      </c>
      <c r="F283" s="14">
        <f t="shared" ref="F283:F286" si="23">SUM(G283:J283)</f>
        <v>2812.9</v>
      </c>
      <c r="G283" s="14"/>
      <c r="H283" s="14">
        <f>3265.6-452.7</f>
        <v>2812.9</v>
      </c>
      <c r="I283" s="14"/>
      <c r="J283" s="14"/>
      <c r="K283" s="197" t="s">
        <v>275</v>
      </c>
      <c r="L283" s="123"/>
    </row>
    <row r="284" spans="1:36" x14ac:dyDescent="0.2">
      <c r="A284" s="260"/>
      <c r="B284" s="250"/>
      <c r="C284" s="229"/>
      <c r="D284" s="204"/>
      <c r="E284" s="191">
        <v>2018</v>
      </c>
      <c r="F284" s="14">
        <f t="shared" si="23"/>
        <v>0</v>
      </c>
      <c r="G284" s="14"/>
      <c r="H284" s="14"/>
      <c r="I284" s="14"/>
      <c r="J284" s="14"/>
      <c r="K284" s="204"/>
      <c r="L284" s="123"/>
    </row>
    <row r="285" spans="1:36" x14ac:dyDescent="0.2">
      <c r="A285" s="260"/>
      <c r="B285" s="250"/>
      <c r="C285" s="229"/>
      <c r="D285" s="204"/>
      <c r="E285" s="191">
        <v>2019</v>
      </c>
      <c r="F285" s="14">
        <f t="shared" si="23"/>
        <v>0</v>
      </c>
      <c r="G285" s="14"/>
      <c r="H285" s="14"/>
      <c r="I285" s="14"/>
      <c r="J285" s="14"/>
      <c r="K285" s="204"/>
      <c r="L285" s="123"/>
      <c r="M285" s="130"/>
      <c r="N285" s="123" t="s">
        <v>255</v>
      </c>
    </row>
    <row r="286" spans="1:36" x14ac:dyDescent="0.2">
      <c r="A286" s="260"/>
      <c r="B286" s="250"/>
      <c r="C286" s="229"/>
      <c r="D286" s="204"/>
      <c r="E286" s="191">
        <v>2020</v>
      </c>
      <c r="F286" s="14">
        <f t="shared" si="23"/>
        <v>0</v>
      </c>
      <c r="G286" s="14"/>
      <c r="H286" s="14"/>
      <c r="I286" s="14"/>
      <c r="J286" s="14"/>
      <c r="K286" s="204"/>
      <c r="L286" s="123"/>
      <c r="M286" s="130"/>
      <c r="N286" s="123" t="s">
        <v>256</v>
      </c>
    </row>
    <row r="287" spans="1:36" ht="86.25" customHeight="1" x14ac:dyDescent="0.2">
      <c r="A287" s="260"/>
      <c r="B287" s="251"/>
      <c r="C287" s="236"/>
      <c r="D287" s="204"/>
      <c r="E287" s="24" t="s">
        <v>18</v>
      </c>
      <c r="F287" s="13">
        <f>SUM(F283:F286)</f>
        <v>2812.9</v>
      </c>
      <c r="G287" s="13"/>
      <c r="H287" s="13">
        <f>SUM(H283:H286)</f>
        <v>2812.9</v>
      </c>
      <c r="I287" s="13"/>
      <c r="J287" s="13"/>
      <c r="K287" s="205"/>
      <c r="L287" s="34"/>
      <c r="M287" s="34"/>
      <c r="N287" s="34"/>
      <c r="O287" s="34"/>
      <c r="P287" s="34"/>
      <c r="Q287" s="34"/>
      <c r="R287" s="34"/>
      <c r="S287" s="34"/>
      <c r="T287" s="34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F287" s="34"/>
    </row>
    <row r="288" spans="1:36" x14ac:dyDescent="0.2">
      <c r="A288" s="328" t="s">
        <v>65</v>
      </c>
      <c r="B288" s="469"/>
      <c r="C288" s="469"/>
      <c r="D288" s="469"/>
      <c r="E288" s="469"/>
      <c r="F288" s="469"/>
      <c r="G288" s="469"/>
      <c r="H288" s="469"/>
      <c r="I288" s="469"/>
      <c r="J288" s="469"/>
      <c r="K288" s="469"/>
      <c r="L288" s="55"/>
      <c r="M288" s="55"/>
      <c r="N288" s="55"/>
      <c r="O288" s="55"/>
      <c r="P288" s="55"/>
      <c r="Q288" s="55"/>
      <c r="R288" s="55"/>
      <c r="S288" s="55"/>
      <c r="T288" s="55"/>
      <c r="U288" s="55"/>
      <c r="V288" s="55"/>
      <c r="W288" s="55"/>
      <c r="X288" s="55"/>
      <c r="Y288" s="55"/>
      <c r="Z288" s="55"/>
      <c r="AA288" s="55"/>
      <c r="AB288" s="55"/>
      <c r="AC288" s="55"/>
      <c r="AD288" s="55"/>
      <c r="AE288" s="55"/>
      <c r="AF288" s="55"/>
    </row>
    <row r="289" spans="1:14" x14ac:dyDescent="0.2">
      <c r="A289" s="252" t="s">
        <v>293</v>
      </c>
      <c r="B289" s="255" t="s">
        <v>215</v>
      </c>
      <c r="C289" s="228" t="s">
        <v>61</v>
      </c>
      <c r="D289" s="197" t="s">
        <v>218</v>
      </c>
      <c r="E289" s="187">
        <v>2015</v>
      </c>
      <c r="F289" s="12">
        <f t="shared" ref="F289:F294" si="24">SUM(H289:I289)</f>
        <v>23806.500000000004</v>
      </c>
      <c r="G289" s="12"/>
      <c r="H289" s="12">
        <f>25365.4-1504.8-54.1</f>
        <v>23806.500000000004</v>
      </c>
      <c r="I289" s="12"/>
      <c r="J289" s="12"/>
      <c r="K289" s="197" t="s">
        <v>148</v>
      </c>
    </row>
    <row r="290" spans="1:14" x14ac:dyDescent="0.2">
      <c r="A290" s="253"/>
      <c r="B290" s="256"/>
      <c r="C290" s="229"/>
      <c r="D290" s="204"/>
      <c r="E290" s="191">
        <v>2016</v>
      </c>
      <c r="F290" s="14">
        <f t="shared" si="24"/>
        <v>12245.599999999999</v>
      </c>
      <c r="G290" s="14"/>
      <c r="H290" s="14">
        <f>12116.8-44.2+173</f>
        <v>12245.599999999999</v>
      </c>
      <c r="I290" s="14"/>
      <c r="J290" s="14"/>
      <c r="K290" s="204"/>
    </row>
    <row r="291" spans="1:14" x14ac:dyDescent="0.2">
      <c r="A291" s="253"/>
      <c r="B291" s="256"/>
      <c r="C291" s="229"/>
      <c r="D291" s="204"/>
      <c r="E291" s="191">
        <v>2017</v>
      </c>
      <c r="F291" s="14">
        <f t="shared" si="24"/>
        <v>12314.3</v>
      </c>
      <c r="G291" s="14"/>
      <c r="H291" s="14">
        <f>12346-31.7</f>
        <v>12314.3</v>
      </c>
      <c r="I291" s="14"/>
      <c r="J291" s="14"/>
      <c r="K291" s="204"/>
      <c r="L291" s="123"/>
      <c r="N291" s="123" t="s">
        <v>258</v>
      </c>
    </row>
    <row r="292" spans="1:14" x14ac:dyDescent="0.2">
      <c r="A292" s="253"/>
      <c r="B292" s="256"/>
      <c r="C292" s="229"/>
      <c r="D292" s="204"/>
      <c r="E292" s="191">
        <v>2018</v>
      </c>
      <c r="F292" s="14">
        <f t="shared" si="24"/>
        <v>12346</v>
      </c>
      <c r="G292" s="14"/>
      <c r="H292" s="14">
        <f>11926+420</f>
        <v>12346</v>
      </c>
      <c r="I292" s="14"/>
      <c r="J292" s="14"/>
      <c r="K292" s="204"/>
      <c r="N292" s="4" t="s">
        <v>250</v>
      </c>
    </row>
    <row r="293" spans="1:14" x14ac:dyDescent="0.2">
      <c r="A293" s="253"/>
      <c r="B293" s="256"/>
      <c r="C293" s="229"/>
      <c r="D293" s="204"/>
      <c r="E293" s="191">
        <v>2019</v>
      </c>
      <c r="F293" s="14">
        <f t="shared" si="24"/>
        <v>12346</v>
      </c>
      <c r="G293" s="14"/>
      <c r="H293" s="14">
        <f>11926+420</f>
        <v>12346</v>
      </c>
      <c r="I293" s="14"/>
      <c r="J293" s="14"/>
      <c r="K293" s="204"/>
      <c r="N293" s="4" t="s">
        <v>250</v>
      </c>
    </row>
    <row r="294" spans="1:14" x14ac:dyDescent="0.2">
      <c r="A294" s="253"/>
      <c r="B294" s="256"/>
      <c r="C294" s="229"/>
      <c r="D294" s="204"/>
      <c r="E294" s="191">
        <v>2020</v>
      </c>
      <c r="F294" s="14">
        <f t="shared" si="24"/>
        <v>0</v>
      </c>
      <c r="G294" s="14"/>
      <c r="H294" s="14"/>
      <c r="I294" s="14"/>
      <c r="J294" s="14"/>
      <c r="K294" s="204"/>
    </row>
    <row r="295" spans="1:14" ht="13.5" thickBot="1" x14ac:dyDescent="0.25">
      <c r="A295" s="254"/>
      <c r="B295" s="257"/>
      <c r="C295" s="236"/>
      <c r="D295" s="204"/>
      <c r="E295" s="24" t="s">
        <v>18</v>
      </c>
      <c r="F295" s="13">
        <f>SUM(F289:F294)</f>
        <v>73058.400000000009</v>
      </c>
      <c r="G295" s="13"/>
      <c r="H295" s="13">
        <f>SUM(H289:H294)</f>
        <v>73058.400000000009</v>
      </c>
      <c r="I295" s="13"/>
      <c r="J295" s="13"/>
      <c r="K295" s="205"/>
    </row>
    <row r="296" spans="1:14" x14ac:dyDescent="0.2">
      <c r="A296" s="252" t="s">
        <v>72</v>
      </c>
      <c r="B296" s="255" t="s">
        <v>268</v>
      </c>
      <c r="C296" s="228" t="s">
        <v>61</v>
      </c>
      <c r="D296" s="197" t="s">
        <v>218</v>
      </c>
      <c r="E296" s="187">
        <v>2017</v>
      </c>
      <c r="F296" s="12">
        <f t="shared" ref="F296:F299" si="25">SUM(H296:I296)</f>
        <v>102.2</v>
      </c>
      <c r="G296" s="12"/>
      <c r="H296" s="12">
        <v>102.2</v>
      </c>
      <c r="I296" s="12"/>
      <c r="J296" s="12"/>
      <c r="K296" s="197" t="s">
        <v>148</v>
      </c>
      <c r="L296" s="123"/>
    </row>
    <row r="297" spans="1:14" x14ac:dyDescent="0.2">
      <c r="A297" s="253"/>
      <c r="B297" s="256"/>
      <c r="C297" s="229"/>
      <c r="D297" s="204"/>
      <c r="E297" s="191">
        <v>2018</v>
      </c>
      <c r="F297" s="14">
        <f t="shared" si="25"/>
        <v>0</v>
      </c>
      <c r="G297" s="14"/>
      <c r="H297" s="14"/>
      <c r="I297" s="14"/>
      <c r="J297" s="14"/>
      <c r="K297" s="204"/>
    </row>
    <row r="298" spans="1:14" x14ac:dyDescent="0.2">
      <c r="A298" s="253"/>
      <c r="B298" s="256"/>
      <c r="C298" s="229"/>
      <c r="D298" s="204"/>
      <c r="E298" s="191">
        <v>2019</v>
      </c>
      <c r="F298" s="14">
        <f t="shared" si="25"/>
        <v>0</v>
      </c>
      <c r="G298" s="14"/>
      <c r="H298" s="14"/>
      <c r="I298" s="14"/>
      <c r="J298" s="14"/>
      <c r="K298" s="204"/>
      <c r="L298" s="123"/>
      <c r="N298" s="123" t="s">
        <v>258</v>
      </c>
    </row>
    <row r="299" spans="1:14" x14ac:dyDescent="0.2">
      <c r="A299" s="253"/>
      <c r="B299" s="256"/>
      <c r="C299" s="229"/>
      <c r="D299" s="204"/>
      <c r="E299" s="191">
        <v>2020</v>
      </c>
      <c r="F299" s="14">
        <f t="shared" si="25"/>
        <v>0</v>
      </c>
      <c r="G299" s="14"/>
      <c r="H299" s="14"/>
      <c r="I299" s="14"/>
      <c r="J299" s="14"/>
      <c r="K299" s="204"/>
      <c r="N299" s="4" t="s">
        <v>250</v>
      </c>
    </row>
    <row r="300" spans="1:14" ht="39.75" customHeight="1" thickBot="1" x14ac:dyDescent="0.25">
      <c r="A300" s="254"/>
      <c r="B300" s="257"/>
      <c r="C300" s="236"/>
      <c r="D300" s="204"/>
      <c r="E300" s="24" t="s">
        <v>18</v>
      </c>
      <c r="F300" s="13">
        <f>SUM(F296:F299)</f>
        <v>102.2</v>
      </c>
      <c r="G300" s="13"/>
      <c r="H300" s="13">
        <f>SUM(H296:H299)</f>
        <v>102.2</v>
      </c>
      <c r="I300" s="13"/>
      <c r="J300" s="13"/>
      <c r="K300" s="205"/>
    </row>
    <row r="301" spans="1:14" x14ac:dyDescent="0.2">
      <c r="A301" s="253" t="s">
        <v>124</v>
      </c>
      <c r="B301" s="258" t="s">
        <v>149</v>
      </c>
      <c r="C301" s="228" t="s">
        <v>61</v>
      </c>
      <c r="D301" s="197" t="s">
        <v>218</v>
      </c>
      <c r="E301" s="191">
        <v>2015</v>
      </c>
      <c r="F301" s="14"/>
      <c r="G301" s="14"/>
      <c r="H301" s="14"/>
      <c r="I301" s="14"/>
      <c r="J301" s="14"/>
      <c r="K301" s="197" t="s">
        <v>150</v>
      </c>
    </row>
    <row r="302" spans="1:14" x14ac:dyDescent="0.2">
      <c r="A302" s="253"/>
      <c r="B302" s="256"/>
      <c r="C302" s="229"/>
      <c r="D302" s="204"/>
      <c r="E302" s="191">
        <v>2016</v>
      </c>
      <c r="F302" s="14"/>
      <c r="G302" s="14"/>
      <c r="H302" s="14"/>
      <c r="I302" s="14"/>
      <c r="J302" s="14"/>
      <c r="K302" s="204"/>
    </row>
    <row r="303" spans="1:14" x14ac:dyDescent="0.2">
      <c r="A303" s="253"/>
      <c r="B303" s="256"/>
      <c r="C303" s="229"/>
      <c r="D303" s="204"/>
      <c r="E303" s="191">
        <v>2017</v>
      </c>
      <c r="F303" s="14"/>
      <c r="G303" s="14"/>
      <c r="H303" s="14"/>
      <c r="I303" s="14"/>
      <c r="J303" s="14"/>
      <c r="K303" s="204"/>
    </row>
    <row r="304" spans="1:14" x14ac:dyDescent="0.2">
      <c r="A304" s="253"/>
      <c r="B304" s="256"/>
      <c r="C304" s="229"/>
      <c r="D304" s="204"/>
      <c r="E304" s="191">
        <v>2018</v>
      </c>
      <c r="F304" s="14"/>
      <c r="G304" s="14"/>
      <c r="H304" s="14"/>
      <c r="I304" s="14"/>
      <c r="J304" s="14"/>
      <c r="K304" s="204"/>
    </row>
    <row r="305" spans="1:32" x14ac:dyDescent="0.2">
      <c r="A305" s="253"/>
      <c r="B305" s="256"/>
      <c r="C305" s="229"/>
      <c r="D305" s="204"/>
      <c r="E305" s="191">
        <v>2019</v>
      </c>
      <c r="F305" s="14"/>
      <c r="G305" s="14"/>
      <c r="H305" s="14"/>
      <c r="I305" s="14"/>
      <c r="J305" s="14"/>
      <c r="K305" s="204"/>
    </row>
    <row r="306" spans="1:32" x14ac:dyDescent="0.2">
      <c r="A306" s="253"/>
      <c r="B306" s="256"/>
      <c r="C306" s="229"/>
      <c r="D306" s="204"/>
      <c r="E306" s="191">
        <v>2020</v>
      </c>
      <c r="F306" s="14"/>
      <c r="G306" s="14"/>
      <c r="H306" s="14"/>
      <c r="I306" s="14"/>
      <c r="J306" s="14"/>
      <c r="K306" s="204"/>
    </row>
    <row r="307" spans="1:32" ht="13.5" thickBot="1" x14ac:dyDescent="0.25">
      <c r="A307" s="254"/>
      <c r="B307" s="256"/>
      <c r="C307" s="229"/>
      <c r="D307" s="204"/>
      <c r="E307" s="32" t="s">
        <v>18</v>
      </c>
      <c r="F307" s="28"/>
      <c r="G307" s="28"/>
      <c r="H307" s="28"/>
      <c r="I307" s="28"/>
      <c r="J307" s="28"/>
      <c r="K307" s="204"/>
    </row>
    <row r="308" spans="1:32" ht="15.75" thickBot="1" x14ac:dyDescent="0.25">
      <c r="A308" s="264" t="s">
        <v>207</v>
      </c>
      <c r="B308" s="265"/>
      <c r="C308" s="265"/>
      <c r="D308" s="265"/>
      <c r="E308" s="120"/>
      <c r="F308" s="118">
        <f>F282+F295+F300+F287</f>
        <v>3179568.2</v>
      </c>
      <c r="G308" s="118"/>
      <c r="H308" s="118">
        <f>H282+H295+H300+H287+H307</f>
        <v>3179568.2</v>
      </c>
      <c r="I308" s="117">
        <f>I282+I295+I300+I287+I307</f>
        <v>0</v>
      </c>
      <c r="J308" s="121"/>
      <c r="K308" s="122"/>
      <c r="L308" s="151"/>
      <c r="M308" s="152"/>
    </row>
    <row r="309" spans="1:32" ht="16.5" customHeight="1" thickBot="1" x14ac:dyDescent="0.3">
      <c r="A309" s="304" t="s">
        <v>189</v>
      </c>
      <c r="B309" s="305"/>
      <c r="C309" s="305"/>
      <c r="D309" s="305"/>
      <c r="E309" s="305"/>
      <c r="F309" s="305"/>
      <c r="G309" s="305"/>
      <c r="H309" s="305"/>
      <c r="I309" s="305"/>
      <c r="J309" s="305"/>
      <c r="K309" s="305"/>
      <c r="L309" s="105"/>
      <c r="M309" s="105"/>
      <c r="N309" s="105"/>
      <c r="O309" s="105"/>
      <c r="P309" s="105"/>
      <c r="Q309" s="105"/>
      <c r="R309" s="105"/>
      <c r="S309" s="105"/>
      <c r="T309" s="105"/>
      <c r="U309" s="105"/>
      <c r="V309" s="105"/>
      <c r="W309" s="105"/>
      <c r="X309" s="105"/>
      <c r="Y309" s="105"/>
      <c r="Z309" s="105"/>
      <c r="AA309" s="105"/>
      <c r="AB309" s="105"/>
      <c r="AC309" s="105"/>
      <c r="AD309" s="105"/>
      <c r="AE309" s="105"/>
      <c r="AF309" s="106"/>
    </row>
    <row r="310" spans="1:32" ht="135" customHeight="1" thickBot="1" x14ac:dyDescent="0.25">
      <c r="A310" s="266" t="s">
        <v>66</v>
      </c>
      <c r="B310" s="267"/>
      <c r="C310" s="267"/>
      <c r="D310" s="267"/>
      <c r="E310" s="267"/>
      <c r="F310" s="267"/>
      <c r="G310" s="267"/>
      <c r="H310" s="267"/>
      <c r="I310" s="267"/>
      <c r="J310" s="267"/>
      <c r="K310" s="268"/>
    </row>
    <row r="311" spans="1:32" x14ac:dyDescent="0.2">
      <c r="A311" s="253" t="s">
        <v>93</v>
      </c>
      <c r="B311" s="258" t="s">
        <v>238</v>
      </c>
      <c r="C311" s="228" t="s">
        <v>61</v>
      </c>
      <c r="D311" s="197" t="s">
        <v>218</v>
      </c>
      <c r="E311" s="191">
        <v>2015</v>
      </c>
      <c r="F311" s="14">
        <f t="shared" ref="F311:F316" si="26">SUM(G311:H311)</f>
        <v>29177</v>
      </c>
      <c r="G311" s="14"/>
      <c r="H311" s="14">
        <f>25777+3400</f>
        <v>29177</v>
      </c>
      <c r="I311" s="14"/>
      <c r="J311" s="14"/>
      <c r="K311" s="197" t="s">
        <v>151</v>
      </c>
    </row>
    <row r="312" spans="1:32" x14ac:dyDescent="0.2">
      <c r="A312" s="253"/>
      <c r="B312" s="259"/>
      <c r="C312" s="229"/>
      <c r="D312" s="204"/>
      <c r="E312" s="191">
        <v>2016</v>
      </c>
      <c r="F312" s="14">
        <f t="shared" si="26"/>
        <v>31021</v>
      </c>
      <c r="G312" s="14"/>
      <c r="H312" s="14">
        <f>32323-1302</f>
        <v>31021</v>
      </c>
      <c r="I312" s="14"/>
      <c r="J312" s="14"/>
      <c r="K312" s="204"/>
      <c r="L312" s="123"/>
    </row>
    <row r="313" spans="1:32" x14ac:dyDescent="0.2">
      <c r="A313" s="253"/>
      <c r="B313" s="259"/>
      <c r="C313" s="229"/>
      <c r="D313" s="204"/>
      <c r="E313" s="191">
        <v>2017</v>
      </c>
      <c r="F313" s="14">
        <f t="shared" si="26"/>
        <v>29945.1</v>
      </c>
      <c r="G313" s="14"/>
      <c r="H313" s="14">
        <f>31493.1-1548</f>
        <v>29945.1</v>
      </c>
      <c r="I313" s="14"/>
      <c r="J313" s="14"/>
      <c r="K313" s="204"/>
      <c r="L313" s="123"/>
    </row>
    <row r="314" spans="1:32" x14ac:dyDescent="0.2">
      <c r="A314" s="253"/>
      <c r="B314" s="259"/>
      <c r="C314" s="229"/>
      <c r="D314" s="204"/>
      <c r="E314" s="191">
        <v>2018</v>
      </c>
      <c r="F314" s="14">
        <f t="shared" si="26"/>
        <v>26738.799999999999</v>
      </c>
      <c r="G314" s="14"/>
      <c r="H314" s="14">
        <f>28738.8-2000</f>
        <v>26738.799999999999</v>
      </c>
      <c r="I314" s="14"/>
      <c r="J314" s="14"/>
      <c r="K314" s="204"/>
      <c r="L314" s="123" t="s">
        <v>372</v>
      </c>
      <c r="M314" s="123" t="s">
        <v>373</v>
      </c>
      <c r="N314" s="130"/>
    </row>
    <row r="315" spans="1:32" x14ac:dyDescent="0.2">
      <c r="A315" s="253"/>
      <c r="B315" s="259"/>
      <c r="C315" s="229"/>
      <c r="D315" s="204"/>
      <c r="E315" s="191">
        <v>2019</v>
      </c>
      <c r="F315" s="14">
        <f t="shared" si="26"/>
        <v>28037.800000000003</v>
      </c>
      <c r="G315" s="14"/>
      <c r="H315" s="14">
        <f>35866.4-7828.6</f>
        <v>28037.800000000003</v>
      </c>
      <c r="I315" s="14"/>
      <c r="J315" s="14"/>
      <c r="K315" s="204"/>
      <c r="N315" s="130"/>
    </row>
    <row r="316" spans="1:32" x14ac:dyDescent="0.2">
      <c r="A316" s="253"/>
      <c r="B316" s="259"/>
      <c r="C316" s="229"/>
      <c r="D316" s="204"/>
      <c r="E316" s="191">
        <v>2020</v>
      </c>
      <c r="F316" s="14">
        <f t="shared" si="26"/>
        <v>37976</v>
      </c>
      <c r="G316" s="14"/>
      <c r="H316" s="14">
        <v>37976</v>
      </c>
      <c r="I316" s="14"/>
      <c r="J316" s="14"/>
      <c r="K316" s="204"/>
      <c r="N316" s="34"/>
    </row>
    <row r="317" spans="1:32" ht="42.75" customHeight="1" x14ac:dyDescent="0.2">
      <c r="A317" s="254"/>
      <c r="B317" s="259"/>
      <c r="C317" s="236"/>
      <c r="D317" s="204"/>
      <c r="E317" s="24" t="s">
        <v>18</v>
      </c>
      <c r="F317" s="13">
        <f>SUM(F311:F316)</f>
        <v>182895.7</v>
      </c>
      <c r="G317" s="13"/>
      <c r="H317" s="13">
        <f>SUM(H311:H316)</f>
        <v>182895.7</v>
      </c>
      <c r="I317" s="13"/>
      <c r="J317" s="13"/>
      <c r="K317" s="205"/>
    </row>
    <row r="318" spans="1:32" x14ac:dyDescent="0.2">
      <c r="A318" s="260" t="s">
        <v>67</v>
      </c>
      <c r="B318" s="261" t="s">
        <v>132</v>
      </c>
      <c r="C318" s="228" t="s">
        <v>68</v>
      </c>
      <c r="D318" s="197" t="s">
        <v>218</v>
      </c>
      <c r="E318" s="191">
        <v>2015</v>
      </c>
      <c r="F318" s="14">
        <f t="shared" ref="F318:F323" si="27">SUM(G318:I318)</f>
        <v>470.20000000000005</v>
      </c>
      <c r="G318" s="14"/>
      <c r="H318" s="14">
        <f>416.1+54.1</f>
        <v>470.20000000000005</v>
      </c>
      <c r="I318" s="14"/>
      <c r="J318" s="14"/>
      <c r="K318" s="299" t="s">
        <v>151</v>
      </c>
    </row>
    <row r="319" spans="1:32" x14ac:dyDescent="0.2">
      <c r="A319" s="260"/>
      <c r="B319" s="262"/>
      <c r="C319" s="198"/>
      <c r="D319" s="204"/>
      <c r="E319" s="191">
        <v>2016</v>
      </c>
      <c r="F319" s="14">
        <f t="shared" si="27"/>
        <v>305.39999999999998</v>
      </c>
      <c r="G319" s="14"/>
      <c r="H319" s="14">
        <f>261.2+44.2</f>
        <v>305.39999999999998</v>
      </c>
      <c r="I319" s="14"/>
      <c r="J319" s="14"/>
      <c r="K319" s="300"/>
    </row>
    <row r="320" spans="1:32" x14ac:dyDescent="0.2">
      <c r="A320" s="260"/>
      <c r="B320" s="262"/>
      <c r="C320" s="198"/>
      <c r="D320" s="204"/>
      <c r="E320" s="191">
        <v>2017</v>
      </c>
      <c r="F320" s="14">
        <f t="shared" si="27"/>
        <v>454</v>
      </c>
      <c r="G320" s="14"/>
      <c r="H320" s="14">
        <v>454</v>
      </c>
      <c r="I320" s="14"/>
      <c r="J320" s="14"/>
      <c r="K320" s="300"/>
      <c r="L320" s="123"/>
      <c r="M320" s="132"/>
    </row>
    <row r="321" spans="1:22" x14ac:dyDescent="0.2">
      <c r="A321" s="260"/>
      <c r="B321" s="262"/>
      <c r="C321" s="198"/>
      <c r="D321" s="204"/>
      <c r="E321" s="191">
        <v>2018</v>
      </c>
      <c r="F321" s="14">
        <f t="shared" si="27"/>
        <v>454</v>
      </c>
      <c r="G321" s="14"/>
      <c r="H321" s="14">
        <f>1290-836</f>
        <v>454</v>
      </c>
      <c r="I321" s="14"/>
      <c r="J321" s="14"/>
      <c r="K321" s="300"/>
      <c r="N321" s="130"/>
    </row>
    <row r="322" spans="1:22" x14ac:dyDescent="0.2">
      <c r="A322" s="260"/>
      <c r="B322" s="262"/>
      <c r="C322" s="198"/>
      <c r="D322" s="204"/>
      <c r="E322" s="191">
        <v>2019</v>
      </c>
      <c r="F322" s="14">
        <f t="shared" ref="F322" si="28">SUM(G322:I322)</f>
        <v>454</v>
      </c>
      <c r="G322" s="14"/>
      <c r="H322" s="14">
        <f>1350-896</f>
        <v>454</v>
      </c>
      <c r="I322" s="14"/>
      <c r="J322" s="14"/>
      <c r="K322" s="300"/>
      <c r="N322" s="130"/>
    </row>
    <row r="323" spans="1:22" x14ac:dyDescent="0.2">
      <c r="A323" s="260"/>
      <c r="B323" s="262"/>
      <c r="C323" s="198"/>
      <c r="D323" s="204"/>
      <c r="E323" s="191">
        <v>2020</v>
      </c>
      <c r="F323" s="14">
        <f t="shared" si="27"/>
        <v>1420</v>
      </c>
      <c r="G323" s="14"/>
      <c r="H323" s="14">
        <v>1420</v>
      </c>
      <c r="I323" s="14"/>
      <c r="J323" s="14"/>
      <c r="K323" s="300"/>
    </row>
    <row r="324" spans="1:22" x14ac:dyDescent="0.2">
      <c r="A324" s="260"/>
      <c r="B324" s="263"/>
      <c r="C324" s="199"/>
      <c r="D324" s="204"/>
      <c r="E324" s="24" t="s">
        <v>18</v>
      </c>
      <c r="F324" s="13">
        <f>SUM(F318:F323)</f>
        <v>3557.6</v>
      </c>
      <c r="G324" s="13"/>
      <c r="H324" s="13">
        <f>SUM(H318:H323)</f>
        <v>3557.6</v>
      </c>
      <c r="I324" s="14"/>
      <c r="J324" s="14"/>
      <c r="K324" s="301"/>
    </row>
    <row r="325" spans="1:22" x14ac:dyDescent="0.2">
      <c r="A325" s="260" t="s">
        <v>294</v>
      </c>
      <c r="B325" s="261" t="s">
        <v>130</v>
      </c>
      <c r="C325" s="228" t="s">
        <v>68</v>
      </c>
      <c r="D325" s="197" t="s">
        <v>218</v>
      </c>
      <c r="E325" s="191">
        <v>2015</v>
      </c>
      <c r="F325" s="14">
        <f t="shared" ref="F325:F330" si="29">SUM(G325:J325)</f>
        <v>5042</v>
      </c>
      <c r="G325" s="14"/>
      <c r="H325" s="14">
        <v>4991.6000000000004</v>
      </c>
      <c r="I325" s="14">
        <v>50.4</v>
      </c>
      <c r="J325" s="14"/>
      <c r="K325" s="197" t="s">
        <v>151</v>
      </c>
    </row>
    <row r="326" spans="1:22" x14ac:dyDescent="0.2">
      <c r="A326" s="260"/>
      <c r="B326" s="262"/>
      <c r="C326" s="198"/>
      <c r="D326" s="204"/>
      <c r="E326" s="191">
        <v>2016</v>
      </c>
      <c r="F326" s="14">
        <f t="shared" si="29"/>
        <v>0</v>
      </c>
      <c r="G326" s="14"/>
      <c r="H326" s="14"/>
      <c r="I326" s="14">
        <v>0</v>
      </c>
      <c r="J326" s="14"/>
      <c r="K326" s="204"/>
    </row>
    <row r="327" spans="1:22" x14ac:dyDescent="0.2">
      <c r="A327" s="260"/>
      <c r="B327" s="262"/>
      <c r="C327" s="198"/>
      <c r="D327" s="204"/>
      <c r="E327" s="191">
        <v>2017</v>
      </c>
      <c r="F327" s="14">
        <f t="shared" si="29"/>
        <v>0</v>
      </c>
      <c r="G327" s="14"/>
      <c r="H327" s="14">
        <f>5450.9-5450.9</f>
        <v>0</v>
      </c>
      <c r="I327" s="14">
        <f>55.1-55.1</f>
        <v>0</v>
      </c>
      <c r="J327" s="14"/>
      <c r="K327" s="204"/>
      <c r="L327" s="123"/>
    </row>
    <row r="328" spans="1:22" x14ac:dyDescent="0.2">
      <c r="A328" s="260"/>
      <c r="B328" s="262"/>
      <c r="C328" s="198"/>
      <c r="D328" s="204"/>
      <c r="E328" s="191">
        <v>2018</v>
      </c>
      <c r="F328" s="14">
        <f t="shared" si="29"/>
        <v>0</v>
      </c>
      <c r="G328" s="14"/>
      <c r="H328" s="14"/>
      <c r="I328" s="14"/>
      <c r="J328" s="14"/>
      <c r="K328" s="204"/>
      <c r="L328" s="123"/>
    </row>
    <row r="329" spans="1:22" x14ac:dyDescent="0.2">
      <c r="A329" s="260"/>
      <c r="B329" s="262"/>
      <c r="C329" s="198"/>
      <c r="D329" s="204"/>
      <c r="E329" s="191">
        <v>2019</v>
      </c>
      <c r="F329" s="14">
        <f t="shared" si="29"/>
        <v>0</v>
      </c>
      <c r="G329" s="14"/>
      <c r="H329" s="14"/>
      <c r="I329" s="14"/>
      <c r="J329" s="14"/>
      <c r="K329" s="204"/>
    </row>
    <row r="330" spans="1:22" x14ac:dyDescent="0.2">
      <c r="A330" s="260"/>
      <c r="B330" s="262"/>
      <c r="C330" s="198"/>
      <c r="D330" s="204"/>
      <c r="E330" s="191">
        <v>2020</v>
      </c>
      <c r="F330" s="14">
        <f t="shared" si="29"/>
        <v>0</v>
      </c>
      <c r="G330" s="14"/>
      <c r="H330" s="14"/>
      <c r="I330" s="14"/>
      <c r="J330" s="14"/>
      <c r="K330" s="204"/>
    </row>
    <row r="331" spans="1:22" ht="45" customHeight="1" x14ac:dyDescent="0.2">
      <c r="A331" s="260"/>
      <c r="B331" s="262"/>
      <c r="C331" s="199"/>
      <c r="D331" s="204"/>
      <c r="E331" s="24" t="s">
        <v>18</v>
      </c>
      <c r="F331" s="51">
        <f>SUM(F325:F330)</f>
        <v>5042</v>
      </c>
      <c r="G331" s="51"/>
      <c r="H331" s="51">
        <f>SUM(H325:H330)</f>
        <v>4991.6000000000004</v>
      </c>
      <c r="I331" s="51">
        <f>SUM(I325:I330)</f>
        <v>50.4</v>
      </c>
      <c r="J331" s="51"/>
      <c r="K331" s="205"/>
    </row>
    <row r="332" spans="1:22" ht="12.75" customHeight="1" x14ac:dyDescent="0.2">
      <c r="A332" s="252" t="s">
        <v>133</v>
      </c>
      <c r="B332" s="200" t="s">
        <v>316</v>
      </c>
      <c r="C332" s="228" t="s">
        <v>68</v>
      </c>
      <c r="D332" s="197" t="s">
        <v>218</v>
      </c>
      <c r="E332" s="191">
        <v>2015</v>
      </c>
      <c r="F332" s="14">
        <f t="shared" ref="F332:F337" si="30">SUM(G332:J332)</f>
        <v>0</v>
      </c>
      <c r="G332" s="14"/>
      <c r="H332" s="14"/>
      <c r="I332" s="14"/>
      <c r="J332" s="14"/>
      <c r="K332" s="197" t="s">
        <v>152</v>
      </c>
    </row>
    <row r="333" spans="1:22" ht="12.75" customHeight="1" x14ac:dyDescent="0.2">
      <c r="A333" s="253"/>
      <c r="B333" s="201"/>
      <c r="C333" s="198"/>
      <c r="D333" s="204"/>
      <c r="E333" s="191">
        <v>2016</v>
      </c>
      <c r="F333" s="14">
        <f t="shared" si="30"/>
        <v>2152.1</v>
      </c>
      <c r="G333" s="14"/>
      <c r="H333" s="14"/>
      <c r="I333" s="14">
        <f>2194.1-42</f>
        <v>2152.1</v>
      </c>
      <c r="J333" s="14"/>
      <c r="K333" s="204"/>
      <c r="L333" s="123"/>
    </row>
    <row r="334" spans="1:22" ht="12.75" customHeight="1" x14ac:dyDescent="0.2">
      <c r="A334" s="253"/>
      <c r="B334" s="201"/>
      <c r="C334" s="198"/>
      <c r="D334" s="204"/>
      <c r="E334" s="191">
        <v>2017</v>
      </c>
      <c r="F334" s="14">
        <f t="shared" si="30"/>
        <v>6504.1</v>
      </c>
      <c r="G334" s="14"/>
      <c r="H334" s="14"/>
      <c r="I334" s="14">
        <f>1996.4+4505.7+2</f>
        <v>6504.1</v>
      </c>
      <c r="J334" s="14"/>
      <c r="K334" s="204"/>
      <c r="L334" s="123" t="s">
        <v>375</v>
      </c>
      <c r="M334" s="150" t="s">
        <v>356</v>
      </c>
      <c r="N334" s="134"/>
      <c r="O334" s="146">
        <v>2589.1999999999998</v>
      </c>
      <c r="P334" s="134"/>
      <c r="Q334" s="146" t="s">
        <v>357</v>
      </c>
      <c r="R334" s="134"/>
      <c r="S334" s="134"/>
      <c r="T334" s="137">
        <v>1596.5</v>
      </c>
      <c r="U334" s="146" t="s">
        <v>358</v>
      </c>
      <c r="V334" s="137"/>
    </row>
    <row r="335" spans="1:22" ht="12.75" customHeight="1" x14ac:dyDescent="0.2">
      <c r="A335" s="253"/>
      <c r="B335" s="201"/>
      <c r="C335" s="198"/>
      <c r="D335" s="204"/>
      <c r="E335" s="191">
        <v>2018</v>
      </c>
      <c r="F335" s="14">
        <f t="shared" si="30"/>
        <v>2201.1</v>
      </c>
      <c r="G335" s="14"/>
      <c r="H335" s="14"/>
      <c r="I335" s="14">
        <v>2201.1</v>
      </c>
      <c r="J335" s="14"/>
      <c r="K335" s="204"/>
      <c r="L335" s="123"/>
    </row>
    <row r="336" spans="1:22" ht="12.75" customHeight="1" x14ac:dyDescent="0.2">
      <c r="A336" s="253"/>
      <c r="B336" s="201"/>
      <c r="C336" s="198"/>
      <c r="D336" s="204"/>
      <c r="E336" s="191">
        <v>2019</v>
      </c>
      <c r="F336" s="14">
        <f t="shared" si="30"/>
        <v>1389.9</v>
      </c>
      <c r="G336" s="14"/>
      <c r="H336" s="14"/>
      <c r="I336" s="14">
        <v>1389.9</v>
      </c>
      <c r="J336" s="14"/>
      <c r="K336" s="204"/>
    </row>
    <row r="337" spans="1:16" ht="12.75" customHeight="1" x14ac:dyDescent="0.2">
      <c r="A337" s="253"/>
      <c r="B337" s="201"/>
      <c r="C337" s="198"/>
      <c r="D337" s="204"/>
      <c r="E337" s="191">
        <v>2020</v>
      </c>
      <c r="F337" s="14">
        <f t="shared" si="30"/>
        <v>0</v>
      </c>
      <c r="G337" s="14"/>
      <c r="H337" s="14"/>
      <c r="I337" s="14"/>
      <c r="J337" s="14"/>
      <c r="K337" s="204"/>
    </row>
    <row r="338" spans="1:16" ht="30.75" customHeight="1" x14ac:dyDescent="0.2">
      <c r="A338" s="254"/>
      <c r="B338" s="239"/>
      <c r="C338" s="199"/>
      <c r="D338" s="204"/>
      <c r="E338" s="24" t="s">
        <v>18</v>
      </c>
      <c r="F338" s="51">
        <f>SUM(F332:F337)</f>
        <v>12247.2</v>
      </c>
      <c r="G338" s="51"/>
      <c r="H338" s="51">
        <f>SUM(H332:H337)</f>
        <v>0</v>
      </c>
      <c r="I338" s="51">
        <f>SUM(I332:I337)</f>
        <v>12247.2</v>
      </c>
      <c r="J338" s="51"/>
      <c r="K338" s="205"/>
    </row>
    <row r="339" spans="1:16" ht="13.5" customHeight="1" x14ac:dyDescent="0.2">
      <c r="A339" s="224" t="s">
        <v>247</v>
      </c>
      <c r="B339" s="226" t="s">
        <v>248</v>
      </c>
      <c r="C339" s="228" t="s">
        <v>217</v>
      </c>
      <c r="D339" s="197" t="s">
        <v>218</v>
      </c>
      <c r="E339" s="191">
        <v>2016</v>
      </c>
      <c r="F339" s="28">
        <f>G339+H339+I339</f>
        <v>42</v>
      </c>
      <c r="G339" s="51"/>
      <c r="H339" s="51"/>
      <c r="I339" s="28">
        <v>42</v>
      </c>
      <c r="J339" s="28"/>
      <c r="K339" s="197" t="s">
        <v>140</v>
      </c>
      <c r="L339" s="123"/>
    </row>
    <row r="340" spans="1:16" ht="13.5" customHeight="1" x14ac:dyDescent="0.2">
      <c r="A340" s="225"/>
      <c r="B340" s="227"/>
      <c r="C340" s="229"/>
      <c r="D340" s="204"/>
      <c r="E340" s="191">
        <v>2017</v>
      </c>
      <c r="F340" s="28">
        <f t="shared" ref="F340:F343" si="31">G340+H340+I340</f>
        <v>693.9</v>
      </c>
      <c r="G340" s="51"/>
      <c r="H340" s="51"/>
      <c r="I340" s="28">
        <v>693.9</v>
      </c>
      <c r="J340" s="28"/>
      <c r="K340" s="204"/>
      <c r="L340" s="123"/>
    </row>
    <row r="341" spans="1:16" ht="13.5" customHeight="1" x14ac:dyDescent="0.2">
      <c r="A341" s="225"/>
      <c r="B341" s="227"/>
      <c r="C341" s="229"/>
      <c r="D341" s="204"/>
      <c r="E341" s="191">
        <v>2018</v>
      </c>
      <c r="F341" s="28">
        <f t="shared" si="31"/>
        <v>500</v>
      </c>
      <c r="G341" s="51"/>
      <c r="H341" s="51"/>
      <c r="I341" s="28">
        <v>500</v>
      </c>
      <c r="J341" s="28"/>
      <c r="K341" s="204"/>
      <c r="L341" s="123"/>
    </row>
    <row r="342" spans="1:16" ht="13.5" customHeight="1" x14ac:dyDescent="0.2">
      <c r="A342" s="225"/>
      <c r="B342" s="227"/>
      <c r="C342" s="229"/>
      <c r="D342" s="204"/>
      <c r="E342" s="191">
        <v>2019</v>
      </c>
      <c r="F342" s="28">
        <f t="shared" si="31"/>
        <v>0</v>
      </c>
      <c r="G342" s="51"/>
      <c r="H342" s="51"/>
      <c r="I342" s="51">
        <v>0</v>
      </c>
      <c r="J342" s="28"/>
      <c r="K342" s="204"/>
      <c r="L342" s="123"/>
    </row>
    <row r="343" spans="1:16" ht="12.75" customHeight="1" x14ac:dyDescent="0.2">
      <c r="A343" s="225"/>
      <c r="B343" s="227"/>
      <c r="C343" s="229"/>
      <c r="D343" s="204"/>
      <c r="E343" s="191">
        <v>2020</v>
      </c>
      <c r="F343" s="28">
        <f t="shared" si="31"/>
        <v>0</v>
      </c>
      <c r="G343" s="51"/>
      <c r="H343" s="51"/>
      <c r="I343" s="51"/>
      <c r="J343" s="28"/>
      <c r="K343" s="204"/>
    </row>
    <row r="344" spans="1:16" ht="18" customHeight="1" x14ac:dyDescent="0.2">
      <c r="A344" s="225"/>
      <c r="B344" s="211"/>
      <c r="C344" s="229"/>
      <c r="D344" s="204"/>
      <c r="E344" s="32" t="s">
        <v>18</v>
      </c>
      <c r="F344" s="51">
        <f>SUM(F339:F343)</f>
        <v>1235.9000000000001</v>
      </c>
      <c r="G344" s="51"/>
      <c r="H344" s="51">
        <v>0</v>
      </c>
      <c r="I344" s="51">
        <f>SUM(I339:I343)</f>
        <v>1235.9000000000001</v>
      </c>
      <c r="J344" s="28"/>
      <c r="K344" s="204"/>
      <c r="P344" s="123"/>
    </row>
    <row r="345" spans="1:16" ht="13.5" customHeight="1" x14ac:dyDescent="0.2">
      <c r="A345" s="224" t="s">
        <v>295</v>
      </c>
      <c r="B345" s="226" t="s">
        <v>271</v>
      </c>
      <c r="C345" s="228" t="s">
        <v>217</v>
      </c>
      <c r="D345" s="197" t="s">
        <v>218</v>
      </c>
      <c r="E345" s="191">
        <v>2017</v>
      </c>
      <c r="F345" s="28">
        <f>G345+H345+I345</f>
        <v>1046.7</v>
      </c>
      <c r="G345" s="51"/>
      <c r="H345" s="28">
        <f>1906.7-860</f>
        <v>1046.7</v>
      </c>
      <c r="I345" s="28"/>
      <c r="J345" s="28"/>
      <c r="K345" s="197" t="s">
        <v>273</v>
      </c>
      <c r="L345" s="123"/>
    </row>
    <row r="346" spans="1:16" ht="13.5" customHeight="1" x14ac:dyDescent="0.2">
      <c r="A346" s="225"/>
      <c r="B346" s="227"/>
      <c r="C346" s="229"/>
      <c r="D346" s="204"/>
      <c r="E346" s="191">
        <v>2018</v>
      </c>
      <c r="F346" s="28">
        <f t="shared" ref="F346:F348" si="32">G346+H346+I346</f>
        <v>0</v>
      </c>
      <c r="G346" s="51"/>
      <c r="H346" s="51"/>
      <c r="I346" s="28"/>
      <c r="J346" s="28"/>
      <c r="K346" s="204"/>
      <c r="L346" s="123"/>
    </row>
    <row r="347" spans="1:16" ht="13.5" customHeight="1" x14ac:dyDescent="0.2">
      <c r="A347" s="225"/>
      <c r="B347" s="227"/>
      <c r="C347" s="229"/>
      <c r="D347" s="204"/>
      <c r="E347" s="191">
        <v>2019</v>
      </c>
      <c r="F347" s="28">
        <f t="shared" si="32"/>
        <v>0</v>
      </c>
      <c r="G347" s="51"/>
      <c r="H347" s="51"/>
      <c r="I347" s="28"/>
      <c r="J347" s="28"/>
      <c r="K347" s="204"/>
      <c r="L347" s="123"/>
    </row>
    <row r="348" spans="1:16" ht="13.5" customHeight="1" x14ac:dyDescent="0.2">
      <c r="A348" s="225"/>
      <c r="B348" s="227"/>
      <c r="C348" s="229"/>
      <c r="D348" s="204"/>
      <c r="E348" s="191">
        <v>2020</v>
      </c>
      <c r="F348" s="28">
        <f t="shared" si="32"/>
        <v>0</v>
      </c>
      <c r="G348" s="51"/>
      <c r="H348" s="51"/>
      <c r="I348" s="51"/>
      <c r="J348" s="28"/>
      <c r="K348" s="204"/>
      <c r="L348" s="123"/>
    </row>
    <row r="349" spans="1:16" ht="64.5" customHeight="1" x14ac:dyDescent="0.2">
      <c r="A349" s="225"/>
      <c r="B349" s="211"/>
      <c r="C349" s="229"/>
      <c r="D349" s="204"/>
      <c r="E349" s="32" t="s">
        <v>18</v>
      </c>
      <c r="F349" s="51">
        <f>SUM(F345:F348)</f>
        <v>1046.7</v>
      </c>
      <c r="G349" s="51"/>
      <c r="H349" s="51">
        <f t="shared" ref="H349" si="33">SUM(H345:H348)</f>
        <v>1046.7</v>
      </c>
      <c r="I349" s="51">
        <f>SUM(I345:I348)</f>
        <v>0</v>
      </c>
      <c r="J349" s="28"/>
      <c r="K349" s="204"/>
    </row>
    <row r="350" spans="1:16" ht="13.5" customHeight="1" x14ac:dyDescent="0.2">
      <c r="A350" s="224" t="s">
        <v>314</v>
      </c>
      <c r="B350" s="226" t="s">
        <v>312</v>
      </c>
      <c r="C350" s="228" t="s">
        <v>217</v>
      </c>
      <c r="D350" s="197" t="s">
        <v>218</v>
      </c>
      <c r="E350" s="191">
        <v>2017</v>
      </c>
      <c r="F350" s="28">
        <f>G350+H350+I350</f>
        <v>163</v>
      </c>
      <c r="G350" s="51"/>
      <c r="H350" s="28"/>
      <c r="I350" s="28">
        <v>163</v>
      </c>
      <c r="J350" s="28"/>
      <c r="K350" s="247" t="s">
        <v>398</v>
      </c>
      <c r="L350" s="123"/>
    </row>
    <row r="351" spans="1:16" ht="13.5" customHeight="1" x14ac:dyDescent="0.2">
      <c r="A351" s="225"/>
      <c r="B351" s="227"/>
      <c r="C351" s="229"/>
      <c r="D351" s="204"/>
      <c r="E351" s="191">
        <v>2018</v>
      </c>
      <c r="F351" s="28">
        <f t="shared" ref="F351:F353" si="34">G351+H351+I351</f>
        <v>0</v>
      </c>
      <c r="G351" s="51"/>
      <c r="H351" s="51"/>
      <c r="I351" s="28"/>
      <c r="J351" s="28"/>
      <c r="K351" s="248"/>
      <c r="L351" s="123" t="s">
        <v>362</v>
      </c>
    </row>
    <row r="352" spans="1:16" ht="13.5" customHeight="1" x14ac:dyDescent="0.2">
      <c r="A352" s="225"/>
      <c r="B352" s="227"/>
      <c r="C352" s="229"/>
      <c r="D352" s="204"/>
      <c r="E352" s="191">
        <v>2019</v>
      </c>
      <c r="F352" s="28">
        <f t="shared" si="34"/>
        <v>0</v>
      </c>
      <c r="G352" s="51"/>
      <c r="H352" s="51"/>
      <c r="I352" s="28"/>
      <c r="J352" s="28"/>
      <c r="K352" s="248"/>
      <c r="L352" s="123"/>
    </row>
    <row r="353" spans="1:32" ht="13.5" customHeight="1" x14ac:dyDescent="0.2">
      <c r="A353" s="225"/>
      <c r="B353" s="227"/>
      <c r="C353" s="229"/>
      <c r="D353" s="204"/>
      <c r="E353" s="191">
        <v>2020</v>
      </c>
      <c r="F353" s="28">
        <f t="shared" si="34"/>
        <v>0</v>
      </c>
      <c r="G353" s="51"/>
      <c r="H353" s="51"/>
      <c r="I353" s="51"/>
      <c r="J353" s="28"/>
      <c r="K353" s="248"/>
      <c r="L353" s="123"/>
    </row>
    <row r="354" spans="1:32" ht="19.5" customHeight="1" thickBot="1" x14ac:dyDescent="0.25">
      <c r="A354" s="225"/>
      <c r="B354" s="211"/>
      <c r="C354" s="229"/>
      <c r="D354" s="204"/>
      <c r="E354" s="32" t="s">
        <v>18</v>
      </c>
      <c r="F354" s="51">
        <f>SUM(F350:F353)</f>
        <v>163</v>
      </c>
      <c r="G354" s="51"/>
      <c r="H354" s="51">
        <f t="shared" ref="H354" si="35">SUM(H350:H353)</f>
        <v>0</v>
      </c>
      <c r="I354" s="51">
        <f>SUM(I350:I353)</f>
        <v>163</v>
      </c>
      <c r="J354" s="28"/>
      <c r="K354" s="248"/>
    </row>
    <row r="355" spans="1:32" ht="15.75" thickBot="1" x14ac:dyDescent="0.3">
      <c r="A355" s="302" t="s">
        <v>185</v>
      </c>
      <c r="B355" s="303"/>
      <c r="C355" s="303"/>
      <c r="D355" s="303"/>
      <c r="E355" s="56"/>
      <c r="F355" s="167">
        <f>F331+F324+F317+F338+F344+F349+F354</f>
        <v>206188.10000000003</v>
      </c>
      <c r="G355" s="118"/>
      <c r="H355" s="117">
        <f>H331+H324+H317+H338+H344+H349+H354</f>
        <v>192491.60000000003</v>
      </c>
      <c r="I355" s="117">
        <f>I331+I324+I317+I338+I344+I349+I354</f>
        <v>13696.5</v>
      </c>
      <c r="J355" s="126"/>
      <c r="K355" s="127"/>
      <c r="M355" s="151"/>
      <c r="N355" s="152"/>
    </row>
    <row r="356" spans="1:32" ht="16.5" thickBot="1" x14ac:dyDescent="0.3">
      <c r="A356" s="240" t="s">
        <v>190</v>
      </c>
      <c r="B356" s="241"/>
      <c r="C356" s="241"/>
      <c r="D356" s="241"/>
      <c r="E356" s="241"/>
      <c r="F356" s="124"/>
      <c r="G356" s="124"/>
      <c r="H356" s="124"/>
      <c r="I356" s="125"/>
      <c r="J356" s="125"/>
      <c r="K356" s="125"/>
      <c r="L356" s="59"/>
      <c r="M356" s="59"/>
      <c r="N356" s="59"/>
      <c r="O356" s="59"/>
      <c r="P356" s="59"/>
      <c r="Q356" s="59"/>
      <c r="R356" s="59"/>
      <c r="S356" s="59"/>
      <c r="T356" s="59"/>
      <c r="U356" s="59"/>
      <c r="V356" s="59"/>
      <c r="W356" s="59"/>
      <c r="X356" s="59"/>
      <c r="Y356" s="59"/>
      <c r="Z356" s="59"/>
      <c r="AA356" s="59"/>
      <c r="AB356" s="59"/>
      <c r="AC356" s="59"/>
      <c r="AD356" s="59"/>
      <c r="AE356" s="59"/>
      <c r="AF356" s="60"/>
    </row>
    <row r="357" spans="1:32" x14ac:dyDescent="0.2">
      <c r="A357" s="242" t="s">
        <v>296</v>
      </c>
      <c r="B357" s="244" t="s">
        <v>123</v>
      </c>
      <c r="C357" s="228" t="s">
        <v>68</v>
      </c>
      <c r="D357" s="197" t="s">
        <v>218</v>
      </c>
      <c r="E357" s="191">
        <v>2015</v>
      </c>
      <c r="F357" s="14">
        <f t="shared" ref="F357:F362" si="36">SUM(G357:I357)</f>
        <v>175</v>
      </c>
      <c r="G357" s="14"/>
      <c r="H357" s="14"/>
      <c r="I357" s="14">
        <v>175</v>
      </c>
      <c r="J357" s="14"/>
      <c r="K357" s="197" t="s">
        <v>153</v>
      </c>
    </row>
    <row r="358" spans="1:32" x14ac:dyDescent="0.2">
      <c r="A358" s="243"/>
      <c r="B358" s="245"/>
      <c r="C358" s="198"/>
      <c r="D358" s="204"/>
      <c r="E358" s="191">
        <v>2016</v>
      </c>
      <c r="F358" s="14">
        <f t="shared" si="36"/>
        <v>195</v>
      </c>
      <c r="G358" s="14"/>
      <c r="H358" s="14"/>
      <c r="I358" s="14">
        <f>185+10</f>
        <v>195</v>
      </c>
      <c r="J358" s="14"/>
      <c r="K358" s="204"/>
    </row>
    <row r="359" spans="1:32" x14ac:dyDescent="0.2">
      <c r="A359" s="243"/>
      <c r="B359" s="245"/>
      <c r="C359" s="198"/>
      <c r="D359" s="204"/>
      <c r="E359" s="191">
        <v>2017</v>
      </c>
      <c r="F359" s="14">
        <f t="shared" si="36"/>
        <v>151.5</v>
      </c>
      <c r="G359" s="14"/>
      <c r="H359" s="14"/>
      <c r="I359" s="14">
        <v>151.5</v>
      </c>
      <c r="J359" s="14"/>
      <c r="K359" s="204"/>
      <c r="L359" s="123"/>
    </row>
    <row r="360" spans="1:32" x14ac:dyDescent="0.2">
      <c r="A360" s="243"/>
      <c r="B360" s="245"/>
      <c r="C360" s="198"/>
      <c r="D360" s="204"/>
      <c r="E360" s="191">
        <v>2018</v>
      </c>
      <c r="F360" s="14">
        <f t="shared" si="36"/>
        <v>205</v>
      </c>
      <c r="G360" s="14"/>
      <c r="H360" s="14"/>
      <c r="I360" s="14">
        <v>205</v>
      </c>
      <c r="J360" s="14"/>
      <c r="K360" s="204"/>
      <c r="L360" s="123"/>
    </row>
    <row r="361" spans="1:32" x14ac:dyDescent="0.2">
      <c r="A361" s="243"/>
      <c r="B361" s="245"/>
      <c r="C361" s="198"/>
      <c r="D361" s="204"/>
      <c r="E361" s="191">
        <v>2019</v>
      </c>
      <c r="F361" s="14">
        <f t="shared" si="36"/>
        <v>215</v>
      </c>
      <c r="G361" s="14"/>
      <c r="H361" s="14"/>
      <c r="I361" s="14">
        <v>215</v>
      </c>
      <c r="J361" s="14"/>
      <c r="K361" s="204"/>
      <c r="L361" s="123"/>
    </row>
    <row r="362" spans="1:32" x14ac:dyDescent="0.2">
      <c r="A362" s="243"/>
      <c r="B362" s="245"/>
      <c r="C362" s="198"/>
      <c r="D362" s="204"/>
      <c r="E362" s="191">
        <v>2020</v>
      </c>
      <c r="F362" s="14">
        <f t="shared" si="36"/>
        <v>230</v>
      </c>
      <c r="G362" s="14"/>
      <c r="H362" s="14"/>
      <c r="I362" s="14">
        <v>230</v>
      </c>
      <c r="J362" s="14"/>
      <c r="K362" s="204"/>
    </row>
    <row r="363" spans="1:32" ht="58.5" customHeight="1" x14ac:dyDescent="0.2">
      <c r="A363" s="243"/>
      <c r="B363" s="245"/>
      <c r="C363" s="198"/>
      <c r="D363" s="204"/>
      <c r="E363" s="32" t="s">
        <v>18</v>
      </c>
      <c r="F363" s="51">
        <f>SUM(F357:F362)</f>
        <v>1171.5</v>
      </c>
      <c r="G363" s="51"/>
      <c r="H363" s="51"/>
      <c r="I363" s="51">
        <f>SUM(I357:I362)</f>
        <v>1171.5</v>
      </c>
      <c r="J363" s="28"/>
      <c r="K363" s="205"/>
    </row>
    <row r="364" spans="1:32" x14ac:dyDescent="0.2">
      <c r="A364" s="230" t="s">
        <v>297</v>
      </c>
      <c r="B364" s="244" t="s">
        <v>80</v>
      </c>
      <c r="C364" s="202" t="s">
        <v>68</v>
      </c>
      <c r="D364" s="197" t="s">
        <v>218</v>
      </c>
      <c r="E364" s="191">
        <v>2017</v>
      </c>
      <c r="F364" s="14">
        <f t="shared" ref="F364:F367" si="37">SUM(G364:I364)</f>
        <v>200</v>
      </c>
      <c r="G364" s="14"/>
      <c r="H364" s="14"/>
      <c r="I364" s="14">
        <v>200</v>
      </c>
      <c r="J364" s="14"/>
      <c r="K364" s="197" t="s">
        <v>169</v>
      </c>
      <c r="L364" s="123"/>
    </row>
    <row r="365" spans="1:32" x14ac:dyDescent="0.2">
      <c r="A365" s="231"/>
      <c r="B365" s="245"/>
      <c r="C365" s="203"/>
      <c r="D365" s="204"/>
      <c r="E365" s="191">
        <v>2018</v>
      </c>
      <c r="F365" s="14">
        <f t="shared" si="37"/>
        <v>0</v>
      </c>
      <c r="G365" s="14"/>
      <c r="H365" s="14"/>
      <c r="I365" s="14"/>
      <c r="J365" s="14"/>
      <c r="K365" s="204"/>
    </row>
    <row r="366" spans="1:32" x14ac:dyDescent="0.2">
      <c r="A366" s="231"/>
      <c r="B366" s="245"/>
      <c r="C366" s="203"/>
      <c r="D366" s="204"/>
      <c r="E366" s="191">
        <v>2019</v>
      </c>
      <c r="F366" s="14">
        <f t="shared" si="37"/>
        <v>0</v>
      </c>
      <c r="G366" s="14"/>
      <c r="H366" s="14"/>
      <c r="I366" s="14"/>
      <c r="J366" s="14"/>
      <c r="K366" s="204"/>
      <c r="L366" s="123"/>
    </row>
    <row r="367" spans="1:32" x14ac:dyDescent="0.2">
      <c r="A367" s="231"/>
      <c r="B367" s="245"/>
      <c r="C367" s="203"/>
      <c r="D367" s="204"/>
      <c r="E367" s="191">
        <v>2020</v>
      </c>
      <c r="F367" s="14">
        <f t="shared" si="37"/>
        <v>0</v>
      </c>
      <c r="G367" s="14"/>
      <c r="H367" s="14"/>
      <c r="I367" s="14"/>
      <c r="J367" s="14"/>
      <c r="K367" s="204"/>
      <c r="L367" s="123"/>
    </row>
    <row r="368" spans="1:32" ht="58.5" customHeight="1" thickBot="1" x14ac:dyDescent="0.25">
      <c r="A368" s="231"/>
      <c r="B368" s="245"/>
      <c r="C368" s="203"/>
      <c r="D368" s="204"/>
      <c r="E368" s="32" t="s">
        <v>18</v>
      </c>
      <c r="F368" s="51">
        <f>SUM(F364:F367)</f>
        <v>200</v>
      </c>
      <c r="G368" s="51"/>
      <c r="H368" s="51"/>
      <c r="I368" s="51">
        <f>SUM(I364:I367)</f>
        <v>200</v>
      </c>
      <c r="J368" s="28"/>
      <c r="K368" s="205"/>
    </row>
    <row r="369" spans="1:32" ht="15.75" thickBot="1" x14ac:dyDescent="0.3">
      <c r="A369" s="485" t="s">
        <v>197</v>
      </c>
      <c r="B369" s="303"/>
      <c r="C369" s="486"/>
      <c r="D369" s="303"/>
      <c r="E369" s="61"/>
      <c r="F369" s="20">
        <f>F368+F363</f>
        <v>1371.5</v>
      </c>
      <c r="G369" s="18">
        <f>SUM(G363)</f>
        <v>0</v>
      </c>
      <c r="H369" s="20">
        <f>H368+H363</f>
        <v>0</v>
      </c>
      <c r="I369" s="20">
        <f>I368+I363</f>
        <v>1371.5</v>
      </c>
      <c r="J369" s="57"/>
      <c r="K369" s="58"/>
      <c r="L369" s="151"/>
      <c r="M369" s="152"/>
    </row>
    <row r="370" spans="1:32" ht="16.5" thickBot="1" x14ac:dyDescent="0.25">
      <c r="A370" s="208" t="s">
        <v>191</v>
      </c>
      <c r="B370" s="209"/>
      <c r="C370" s="209"/>
      <c r="D370" s="209"/>
      <c r="E370" s="209"/>
      <c r="F370" s="209"/>
      <c r="G370" s="209"/>
      <c r="H370" s="209"/>
      <c r="I370" s="209"/>
      <c r="J370" s="209"/>
      <c r="K370" s="210"/>
      <c r="L370" s="62"/>
      <c r="M370" s="62"/>
      <c r="N370" s="62"/>
      <c r="O370" s="62"/>
      <c r="P370" s="62"/>
      <c r="Q370" s="62"/>
      <c r="R370" s="62"/>
      <c r="S370" s="62"/>
      <c r="T370" s="62"/>
      <c r="U370" s="62"/>
      <c r="V370" s="62"/>
      <c r="W370" s="62"/>
      <c r="X370" s="62"/>
      <c r="Y370" s="62"/>
      <c r="Z370" s="62"/>
      <c r="AA370" s="62"/>
      <c r="AB370" s="62"/>
      <c r="AC370" s="62"/>
      <c r="AD370" s="62"/>
      <c r="AE370" s="62"/>
      <c r="AF370" s="63"/>
    </row>
    <row r="371" spans="1:32" x14ac:dyDescent="0.2">
      <c r="A371" s="213" t="s">
        <v>154</v>
      </c>
      <c r="B371" s="211" t="s">
        <v>308</v>
      </c>
      <c r="C371" s="229" t="s">
        <v>68</v>
      </c>
      <c r="D371" s="204" t="s">
        <v>218</v>
      </c>
      <c r="E371" s="187">
        <v>2015</v>
      </c>
      <c r="F371" s="12">
        <f t="shared" ref="F371:F376" si="38">SUM(G371:I371)</f>
        <v>275</v>
      </c>
      <c r="G371" s="12"/>
      <c r="H371" s="12"/>
      <c r="I371" s="12">
        <v>275</v>
      </c>
      <c r="J371" s="12"/>
      <c r="K371" s="204" t="s">
        <v>155</v>
      </c>
    </row>
    <row r="372" spans="1:32" x14ac:dyDescent="0.2">
      <c r="A372" s="487"/>
      <c r="B372" s="200"/>
      <c r="C372" s="198"/>
      <c r="D372" s="204"/>
      <c r="E372" s="191">
        <v>2016</v>
      </c>
      <c r="F372" s="14">
        <f t="shared" si="38"/>
        <v>294.7</v>
      </c>
      <c r="G372" s="14"/>
      <c r="H372" s="14"/>
      <c r="I372" s="14">
        <f>295-0.3</f>
        <v>294.7</v>
      </c>
      <c r="J372" s="14"/>
      <c r="K372" s="204"/>
    </row>
    <row r="373" spans="1:32" x14ac:dyDescent="0.2">
      <c r="A373" s="487"/>
      <c r="B373" s="200"/>
      <c r="C373" s="198"/>
      <c r="D373" s="204"/>
      <c r="E373" s="191">
        <v>2017</v>
      </c>
      <c r="F373" s="14">
        <f t="shared" si="38"/>
        <v>0</v>
      </c>
      <c r="G373" s="14"/>
      <c r="H373" s="14"/>
      <c r="I373" s="14">
        <f>240.5-240.5</f>
        <v>0</v>
      </c>
      <c r="J373" s="14"/>
      <c r="K373" s="204"/>
      <c r="L373" s="123" t="s">
        <v>382</v>
      </c>
      <c r="N373" s="123"/>
      <c r="O373" s="123"/>
    </row>
    <row r="374" spans="1:32" x14ac:dyDescent="0.2">
      <c r="A374" s="487"/>
      <c r="B374" s="200"/>
      <c r="C374" s="198"/>
      <c r="D374" s="204"/>
      <c r="E374" s="191">
        <v>2018</v>
      </c>
      <c r="F374" s="14">
        <f t="shared" si="38"/>
        <v>60</v>
      </c>
      <c r="G374" s="14"/>
      <c r="H374" s="14"/>
      <c r="I374" s="14">
        <v>60</v>
      </c>
      <c r="J374" s="14"/>
      <c r="K374" s="204"/>
      <c r="L374" s="123"/>
      <c r="N374" s="123"/>
      <c r="O374" s="123"/>
    </row>
    <row r="375" spans="1:32" x14ac:dyDescent="0.2">
      <c r="A375" s="487"/>
      <c r="B375" s="200"/>
      <c r="C375" s="198"/>
      <c r="D375" s="204"/>
      <c r="E375" s="191">
        <v>2019</v>
      </c>
      <c r="F375" s="14">
        <f t="shared" si="38"/>
        <v>60</v>
      </c>
      <c r="G375" s="14"/>
      <c r="H375" s="14"/>
      <c r="I375" s="14">
        <v>60</v>
      </c>
      <c r="J375" s="14"/>
      <c r="K375" s="204"/>
      <c r="L375" s="123"/>
    </row>
    <row r="376" spans="1:32" x14ac:dyDescent="0.2">
      <c r="A376" s="487"/>
      <c r="B376" s="200"/>
      <c r="C376" s="198"/>
      <c r="D376" s="204"/>
      <c r="E376" s="191">
        <v>2020</v>
      </c>
      <c r="F376" s="14">
        <f t="shared" si="38"/>
        <v>60</v>
      </c>
      <c r="G376" s="14"/>
      <c r="H376" s="14"/>
      <c r="I376" s="14">
        <v>60</v>
      </c>
      <c r="J376" s="14"/>
      <c r="K376" s="204"/>
    </row>
    <row r="377" spans="1:32" ht="59.25" customHeight="1" thickBot="1" x14ac:dyDescent="0.25">
      <c r="A377" s="488"/>
      <c r="B377" s="200"/>
      <c r="C377" s="322"/>
      <c r="D377" s="204"/>
      <c r="E377" s="24" t="s">
        <v>18</v>
      </c>
      <c r="F377" s="13">
        <f>SUM(F371:F376)</f>
        <v>749.7</v>
      </c>
      <c r="G377" s="13"/>
      <c r="H377" s="13">
        <f>SUM(H371:H376)</f>
        <v>0</v>
      </c>
      <c r="I377" s="13">
        <f>SUM(I371:I376)</f>
        <v>749.7</v>
      </c>
      <c r="J377" s="14"/>
      <c r="K377" s="489"/>
      <c r="L377" s="151"/>
      <c r="M377" s="152"/>
    </row>
    <row r="378" spans="1:32" ht="15.75" thickBot="1" x14ac:dyDescent="0.3">
      <c r="A378" s="302" t="s">
        <v>199</v>
      </c>
      <c r="B378" s="303"/>
      <c r="C378" s="303"/>
      <c r="D378" s="303"/>
      <c r="E378" s="61"/>
      <c r="F378" s="20">
        <f>SUM(F377)</f>
        <v>749.7</v>
      </c>
      <c r="G378" s="18">
        <f>SUM(G377)</f>
        <v>0</v>
      </c>
      <c r="H378" s="18">
        <f>SUM(H377)</f>
        <v>0</v>
      </c>
      <c r="I378" s="20">
        <f>SUM(I377)</f>
        <v>749.7</v>
      </c>
      <c r="J378" s="57"/>
      <c r="K378" s="58"/>
    </row>
    <row r="379" spans="1:32" ht="16.5" thickBot="1" x14ac:dyDescent="0.25">
      <c r="A379" s="208" t="s">
        <v>192</v>
      </c>
      <c r="B379" s="209"/>
      <c r="C379" s="209"/>
      <c r="D379" s="209"/>
      <c r="E379" s="209"/>
      <c r="F379" s="209"/>
      <c r="G379" s="209"/>
      <c r="H379" s="209"/>
      <c r="I379" s="209"/>
      <c r="J379" s="209"/>
      <c r="K379" s="210"/>
      <c r="L379" s="62"/>
      <c r="M379" s="62"/>
      <c r="N379" s="62"/>
      <c r="O379" s="62"/>
      <c r="P379" s="62"/>
      <c r="Q379" s="62"/>
      <c r="R379" s="62"/>
      <c r="S379" s="62"/>
      <c r="T379" s="62"/>
      <c r="U379" s="62"/>
      <c r="V379" s="62"/>
      <c r="W379" s="62"/>
      <c r="X379" s="62"/>
      <c r="Y379" s="62"/>
      <c r="Z379" s="62"/>
      <c r="AA379" s="62"/>
      <c r="AB379" s="62"/>
      <c r="AC379" s="62"/>
      <c r="AD379" s="62"/>
      <c r="AE379" s="62"/>
      <c r="AF379" s="63"/>
    </row>
    <row r="380" spans="1:32" x14ac:dyDescent="0.2">
      <c r="A380" s="297" t="s">
        <v>156</v>
      </c>
      <c r="B380" s="427" t="s">
        <v>239</v>
      </c>
      <c r="C380" s="229" t="s">
        <v>68</v>
      </c>
      <c r="D380" s="204" t="s">
        <v>218</v>
      </c>
      <c r="E380" s="187">
        <v>2015</v>
      </c>
      <c r="F380" s="12">
        <f t="shared" ref="F380:F385" si="39">SUM(G380:J380)</f>
        <v>1715</v>
      </c>
      <c r="G380" s="12"/>
      <c r="H380" s="12">
        <v>1715</v>
      </c>
      <c r="I380" s="12"/>
      <c r="J380" s="12"/>
      <c r="K380" s="204" t="s">
        <v>157</v>
      </c>
    </row>
    <row r="381" spans="1:32" x14ac:dyDescent="0.2">
      <c r="A381" s="298"/>
      <c r="B381" s="244"/>
      <c r="C381" s="198"/>
      <c r="D381" s="204"/>
      <c r="E381" s="191">
        <v>2016</v>
      </c>
      <c r="F381" s="14">
        <f t="shared" si="39"/>
        <v>931.30000000000018</v>
      </c>
      <c r="G381" s="14"/>
      <c r="H381" s="14">
        <f>2151.3-1220</f>
        <v>931.30000000000018</v>
      </c>
      <c r="I381" s="14"/>
      <c r="J381" s="14"/>
      <c r="K381" s="484"/>
      <c r="L381" s="123"/>
    </row>
    <row r="382" spans="1:32" x14ac:dyDescent="0.2">
      <c r="A382" s="298"/>
      <c r="B382" s="244"/>
      <c r="C382" s="198"/>
      <c r="D382" s="204"/>
      <c r="E382" s="191">
        <v>2017</v>
      </c>
      <c r="F382" s="14">
        <f t="shared" si="39"/>
        <v>1100</v>
      </c>
      <c r="G382" s="14"/>
      <c r="H382" s="14">
        <v>1100</v>
      </c>
      <c r="I382" s="14"/>
      <c r="J382" s="14"/>
      <c r="K382" s="484"/>
      <c r="L382" s="123"/>
      <c r="M382" s="130"/>
    </row>
    <row r="383" spans="1:32" x14ac:dyDescent="0.2">
      <c r="A383" s="298"/>
      <c r="B383" s="244"/>
      <c r="C383" s="198"/>
      <c r="D383" s="204"/>
      <c r="E383" s="191">
        <v>2018</v>
      </c>
      <c r="F383" s="14">
        <f t="shared" si="39"/>
        <v>1000</v>
      </c>
      <c r="G383" s="14"/>
      <c r="H383" s="14">
        <f>1200-200</f>
        <v>1000</v>
      </c>
      <c r="I383" s="14"/>
      <c r="J383" s="14"/>
      <c r="K383" s="484"/>
      <c r="L383" s="123"/>
      <c r="M383" s="130"/>
    </row>
    <row r="384" spans="1:32" x14ac:dyDescent="0.2">
      <c r="A384" s="298"/>
      <c r="B384" s="244"/>
      <c r="C384" s="198"/>
      <c r="D384" s="204"/>
      <c r="E384" s="191">
        <v>2019</v>
      </c>
      <c r="F384" s="14">
        <f t="shared" si="39"/>
        <v>1000</v>
      </c>
      <c r="G384" s="14"/>
      <c r="H384" s="14">
        <f>1260-260</f>
        <v>1000</v>
      </c>
      <c r="I384" s="14"/>
      <c r="J384" s="14"/>
      <c r="K384" s="484"/>
      <c r="L384" s="123"/>
      <c r="M384" s="130"/>
    </row>
    <row r="385" spans="1:35" x14ac:dyDescent="0.2">
      <c r="A385" s="298"/>
      <c r="B385" s="244"/>
      <c r="C385" s="198"/>
      <c r="D385" s="204"/>
      <c r="E385" s="191">
        <v>2020</v>
      </c>
      <c r="F385" s="14">
        <f t="shared" si="39"/>
        <v>1530</v>
      </c>
      <c r="G385" s="14"/>
      <c r="H385" s="14">
        <v>1530</v>
      </c>
      <c r="I385" s="14"/>
      <c r="J385" s="14"/>
      <c r="K385" s="484"/>
    </row>
    <row r="386" spans="1:35" ht="63.75" customHeight="1" x14ac:dyDescent="0.2">
      <c r="A386" s="298"/>
      <c r="B386" s="490"/>
      <c r="C386" s="198"/>
      <c r="D386" s="204"/>
      <c r="E386" s="32" t="s">
        <v>18</v>
      </c>
      <c r="F386" s="51">
        <f>SUM(F380:F385)</f>
        <v>7276.3</v>
      </c>
      <c r="G386" s="51"/>
      <c r="H386" s="51">
        <f>SUM(H380:H385)</f>
        <v>7276.3</v>
      </c>
      <c r="I386" s="28"/>
      <c r="J386" s="28"/>
      <c r="K386" s="484"/>
      <c r="L386" s="151"/>
      <c r="M386" s="152"/>
    </row>
    <row r="387" spans="1:35" ht="18" customHeight="1" x14ac:dyDescent="0.2">
      <c r="A387" s="246" t="s">
        <v>221</v>
      </c>
      <c r="B387" s="246"/>
      <c r="C387" s="246"/>
      <c r="D387" s="246"/>
      <c r="E387" s="178"/>
      <c r="F387" s="175">
        <f>F386</f>
        <v>7276.3</v>
      </c>
      <c r="G387" s="176"/>
      <c r="H387" s="175">
        <f>H386</f>
        <v>7276.3</v>
      </c>
      <c r="I387" s="178"/>
      <c r="J387" s="178"/>
      <c r="K387" s="178"/>
    </row>
    <row r="388" spans="1:35" ht="47.25" customHeight="1" x14ac:dyDescent="0.25">
      <c r="A388" s="292" t="s">
        <v>222</v>
      </c>
      <c r="B388" s="293"/>
      <c r="C388" s="293"/>
      <c r="D388" s="294"/>
      <c r="E388" s="98" t="s">
        <v>61</v>
      </c>
      <c r="F388" s="98" t="s">
        <v>18</v>
      </c>
      <c r="G388" s="98" t="s">
        <v>10</v>
      </c>
      <c r="H388" s="96" t="s">
        <v>11</v>
      </c>
      <c r="I388" s="96" t="s">
        <v>12</v>
      </c>
      <c r="J388" s="96" t="s">
        <v>13</v>
      </c>
      <c r="K388" s="58"/>
    </row>
    <row r="389" spans="1:35" ht="13.5" thickBot="1" x14ac:dyDescent="0.25">
      <c r="A389" s="91"/>
      <c r="B389" s="91"/>
      <c r="C389" s="91"/>
      <c r="D389" s="91"/>
      <c r="E389" s="91"/>
      <c r="F389" s="110">
        <f>SUM(G389:J389)</f>
        <v>4037577.6</v>
      </c>
      <c r="G389" s="110">
        <f>G386+G378+G369+G355+G308+G273</f>
        <v>0</v>
      </c>
      <c r="H389" s="110">
        <f>H386+H378+H369+H355+H308+H273</f>
        <v>3689032.6</v>
      </c>
      <c r="I389" s="110">
        <f>I386+I378+I369+I355+I308+I273</f>
        <v>348544.99999999994</v>
      </c>
      <c r="J389" s="111"/>
      <c r="K389" s="91"/>
    </row>
    <row r="390" spans="1:35" ht="41.25" customHeight="1" x14ac:dyDescent="0.2">
      <c r="A390" s="281" t="s">
        <v>231</v>
      </c>
      <c r="B390" s="282"/>
      <c r="C390" s="282"/>
      <c r="D390" s="282"/>
      <c r="E390" s="282"/>
      <c r="F390" s="282"/>
      <c r="G390" s="282"/>
      <c r="H390" s="282"/>
      <c r="I390" s="282"/>
      <c r="J390" s="282"/>
      <c r="K390" s="282"/>
      <c r="L390" s="45"/>
      <c r="M390" s="45"/>
      <c r="N390" s="45"/>
      <c r="O390" s="45"/>
      <c r="P390" s="45"/>
      <c r="Q390" s="45"/>
      <c r="R390" s="45"/>
      <c r="S390" s="45"/>
      <c r="T390" s="45"/>
      <c r="U390" s="45"/>
      <c r="V390" s="45"/>
      <c r="W390" s="45"/>
      <c r="X390" s="45"/>
      <c r="Y390" s="45"/>
      <c r="Z390" s="45"/>
      <c r="AA390" s="45"/>
      <c r="AB390" s="45"/>
      <c r="AC390" s="45"/>
      <c r="AD390" s="45"/>
      <c r="AE390" s="45"/>
      <c r="AF390" s="45"/>
      <c r="AG390" s="45"/>
      <c r="AH390" s="45"/>
      <c r="AI390" s="46"/>
    </row>
    <row r="391" spans="1:35" ht="35.25" customHeight="1" x14ac:dyDescent="0.2">
      <c r="A391" s="295" t="s">
        <v>193</v>
      </c>
      <c r="B391" s="296"/>
      <c r="C391" s="296"/>
      <c r="D391" s="296"/>
      <c r="E391" s="296"/>
      <c r="F391" s="296"/>
      <c r="G391" s="296"/>
      <c r="H391" s="296"/>
      <c r="I391" s="296"/>
      <c r="J391" s="296"/>
      <c r="K391" s="296"/>
      <c r="L391" s="64"/>
      <c r="M391" s="64"/>
      <c r="N391" s="64"/>
      <c r="O391" s="64"/>
      <c r="P391" s="64"/>
      <c r="Q391" s="64"/>
      <c r="R391" s="64"/>
      <c r="S391" s="64"/>
      <c r="T391" s="64"/>
      <c r="U391" s="64"/>
      <c r="V391" s="64"/>
      <c r="W391" s="64"/>
      <c r="X391" s="64"/>
      <c r="Y391" s="64"/>
      <c r="Z391" s="64"/>
      <c r="AA391" s="64"/>
      <c r="AB391" s="64"/>
      <c r="AC391" s="64"/>
      <c r="AD391" s="64"/>
      <c r="AE391" s="64"/>
      <c r="AF391" s="64"/>
      <c r="AG391" s="64"/>
      <c r="AH391" s="64"/>
      <c r="AI391" s="65"/>
    </row>
    <row r="392" spans="1:35" x14ac:dyDescent="0.2">
      <c r="A392" s="481" t="s">
        <v>103</v>
      </c>
      <c r="B392" s="234" t="s">
        <v>69</v>
      </c>
      <c r="C392" s="228" t="s">
        <v>68</v>
      </c>
      <c r="D392" s="197" t="s">
        <v>218</v>
      </c>
      <c r="E392" s="191">
        <v>2015</v>
      </c>
      <c r="F392" s="191"/>
      <c r="G392" s="191"/>
      <c r="H392" s="191"/>
      <c r="I392" s="191"/>
      <c r="J392" s="191"/>
      <c r="K392" s="197" t="s">
        <v>158</v>
      </c>
    </row>
    <row r="393" spans="1:35" x14ac:dyDescent="0.2">
      <c r="A393" s="298"/>
      <c r="B393" s="250"/>
      <c r="C393" s="198"/>
      <c r="D393" s="204"/>
      <c r="E393" s="191">
        <v>2016</v>
      </c>
      <c r="F393" s="191"/>
      <c r="G393" s="191"/>
      <c r="H393" s="191"/>
      <c r="I393" s="191"/>
      <c r="J393" s="191"/>
      <c r="K393" s="204"/>
    </row>
    <row r="394" spans="1:35" x14ac:dyDescent="0.2">
      <c r="A394" s="298"/>
      <c r="B394" s="250"/>
      <c r="C394" s="198"/>
      <c r="D394" s="204"/>
      <c r="E394" s="191">
        <v>2017</v>
      </c>
      <c r="F394" s="191"/>
      <c r="G394" s="191"/>
      <c r="H394" s="191"/>
      <c r="I394" s="191"/>
      <c r="J394" s="191"/>
      <c r="K394" s="204"/>
    </row>
    <row r="395" spans="1:35" x14ac:dyDescent="0.2">
      <c r="A395" s="298"/>
      <c r="B395" s="250"/>
      <c r="C395" s="198"/>
      <c r="D395" s="204"/>
      <c r="E395" s="191">
        <v>2018</v>
      </c>
      <c r="F395" s="191"/>
      <c r="G395" s="191"/>
      <c r="H395" s="191"/>
      <c r="I395" s="191"/>
      <c r="J395" s="191"/>
      <c r="K395" s="204"/>
      <c r="L395" s="123"/>
    </row>
    <row r="396" spans="1:35" x14ac:dyDescent="0.2">
      <c r="A396" s="298"/>
      <c r="B396" s="250"/>
      <c r="C396" s="198"/>
      <c r="D396" s="204"/>
      <c r="E396" s="191">
        <v>2019</v>
      </c>
      <c r="F396" s="191"/>
      <c r="G396" s="191"/>
      <c r="H396" s="191"/>
      <c r="I396" s="191"/>
      <c r="J396" s="191"/>
      <c r="K396" s="204"/>
    </row>
    <row r="397" spans="1:35" x14ac:dyDescent="0.2">
      <c r="A397" s="298"/>
      <c r="B397" s="250"/>
      <c r="C397" s="198"/>
      <c r="D397" s="204"/>
      <c r="E397" s="191">
        <v>2020</v>
      </c>
      <c r="F397" s="191"/>
      <c r="G397" s="191"/>
      <c r="H397" s="191"/>
      <c r="I397" s="191"/>
      <c r="J397" s="191"/>
      <c r="K397" s="204"/>
      <c r="L397" s="152"/>
      <c r="M397" s="152"/>
    </row>
    <row r="398" spans="1:35" ht="13.5" thickBot="1" x14ac:dyDescent="0.25">
      <c r="A398" s="298"/>
      <c r="B398" s="250"/>
      <c r="C398" s="198"/>
      <c r="D398" s="204"/>
      <c r="E398" s="32" t="s">
        <v>18</v>
      </c>
      <c r="F398" s="32"/>
      <c r="G398" s="186"/>
      <c r="H398" s="186"/>
      <c r="I398" s="186"/>
      <c r="J398" s="186"/>
      <c r="K398" s="204"/>
    </row>
    <row r="399" spans="1:35" ht="30" customHeight="1" thickBot="1" x14ac:dyDescent="0.25">
      <c r="A399" s="283" t="s">
        <v>194</v>
      </c>
      <c r="B399" s="296"/>
      <c r="C399" s="296"/>
      <c r="D399" s="296"/>
      <c r="E399" s="296"/>
      <c r="F399" s="296"/>
      <c r="G399" s="296"/>
      <c r="H399" s="296"/>
      <c r="I399" s="296"/>
      <c r="J399" s="296"/>
      <c r="K399" s="296"/>
      <c r="L399" s="66"/>
      <c r="M399" s="66"/>
      <c r="N399" s="66"/>
      <c r="O399" s="66"/>
      <c r="P399" s="66"/>
      <c r="Q399" s="66"/>
      <c r="R399" s="66"/>
      <c r="S399" s="66"/>
      <c r="T399" s="66"/>
      <c r="U399" s="66"/>
      <c r="V399" s="66"/>
      <c r="W399" s="66"/>
      <c r="X399" s="66"/>
      <c r="Y399" s="66"/>
      <c r="Z399" s="66"/>
      <c r="AA399" s="66"/>
      <c r="AB399" s="66"/>
      <c r="AC399" s="66"/>
      <c r="AD399" s="66"/>
      <c r="AE399" s="66"/>
      <c r="AF399" s="66"/>
      <c r="AG399" s="66"/>
      <c r="AH399" s="66"/>
      <c r="AI399" s="67"/>
    </row>
    <row r="400" spans="1:35" ht="15" thickBot="1" x14ac:dyDescent="0.25">
      <c r="A400" s="478" t="s">
        <v>70</v>
      </c>
      <c r="B400" s="479"/>
      <c r="C400" s="479"/>
      <c r="D400" s="479"/>
      <c r="E400" s="479"/>
      <c r="F400" s="479"/>
      <c r="G400" s="479"/>
      <c r="H400" s="479"/>
      <c r="I400" s="479"/>
      <c r="J400" s="479"/>
      <c r="K400" s="480"/>
      <c r="L400" s="68"/>
      <c r="M400" s="68"/>
      <c r="N400" s="68"/>
      <c r="O400" s="68"/>
      <c r="P400" s="68"/>
      <c r="Q400" s="68"/>
      <c r="R400" s="68"/>
      <c r="S400" s="68"/>
      <c r="T400" s="68"/>
      <c r="U400" s="68"/>
      <c r="V400" s="68"/>
      <c r="W400" s="68"/>
      <c r="X400" s="68"/>
      <c r="Y400" s="68"/>
      <c r="Z400" s="68"/>
      <c r="AA400" s="68"/>
      <c r="AB400" s="68"/>
      <c r="AC400" s="68"/>
      <c r="AD400" s="68"/>
      <c r="AE400" s="68"/>
      <c r="AF400" s="68"/>
      <c r="AG400" s="68"/>
      <c r="AH400" s="68"/>
      <c r="AI400" s="69"/>
    </row>
    <row r="401" spans="1:35" ht="12.75" customHeight="1" x14ac:dyDescent="0.2">
      <c r="A401" s="326" t="s">
        <v>64</v>
      </c>
      <c r="B401" s="477" t="s">
        <v>160</v>
      </c>
      <c r="C401" s="228" t="s">
        <v>68</v>
      </c>
      <c r="D401" s="197" t="s">
        <v>218</v>
      </c>
      <c r="E401" s="191">
        <v>2015</v>
      </c>
      <c r="F401" s="14">
        <f t="shared" ref="F401:F406" si="40">SUM(G401:J401)</f>
        <v>44637.9</v>
      </c>
      <c r="G401" s="14"/>
      <c r="H401" s="14"/>
      <c r="I401" s="14">
        <f>49100-1324.1-939.1-30-1573.9-583-12</f>
        <v>44637.9</v>
      </c>
      <c r="J401" s="14"/>
      <c r="K401" s="197" t="s">
        <v>159</v>
      </c>
    </row>
    <row r="402" spans="1:35" x14ac:dyDescent="0.2">
      <c r="A402" s="327"/>
      <c r="B402" s="201"/>
      <c r="C402" s="198"/>
      <c r="D402" s="204"/>
      <c r="E402" s="191">
        <v>2016</v>
      </c>
      <c r="F402" s="14">
        <f t="shared" si="40"/>
        <v>44921</v>
      </c>
      <c r="G402" s="14"/>
      <c r="H402" s="14"/>
      <c r="I402" s="14">
        <f>47428-1000-707-500-300</f>
        <v>44921</v>
      </c>
      <c r="J402" s="14"/>
      <c r="K402" s="204"/>
    </row>
    <row r="403" spans="1:35" ht="15" x14ac:dyDescent="0.25">
      <c r="A403" s="327"/>
      <c r="B403" s="201"/>
      <c r="C403" s="198"/>
      <c r="D403" s="204"/>
      <c r="E403" s="191">
        <v>2017</v>
      </c>
      <c r="F403" s="14">
        <f t="shared" si="40"/>
        <v>48074.7</v>
      </c>
      <c r="G403" s="14"/>
      <c r="H403" s="14"/>
      <c r="I403" s="14">
        <f>42110.2+3343.8+2620.7</f>
        <v>48074.7</v>
      </c>
      <c r="J403" s="14"/>
      <c r="K403" s="204"/>
      <c r="L403" s="153" t="s">
        <v>367</v>
      </c>
      <c r="M403" s="4">
        <v>3343.8</v>
      </c>
    </row>
    <row r="404" spans="1:35" x14ac:dyDescent="0.2">
      <c r="A404" s="327"/>
      <c r="B404" s="201"/>
      <c r="C404" s="198"/>
      <c r="D404" s="204"/>
      <c r="E404" s="191">
        <v>2018</v>
      </c>
      <c r="F404" s="14">
        <f t="shared" si="40"/>
        <v>46555</v>
      </c>
      <c r="G404" s="14"/>
      <c r="H404" s="14"/>
      <c r="I404" s="14">
        <f>63004.7-16449.7</f>
        <v>46555</v>
      </c>
      <c r="J404" s="14"/>
      <c r="K404" s="204"/>
      <c r="L404" s="123"/>
      <c r="M404" s="130"/>
    </row>
    <row r="405" spans="1:35" x14ac:dyDescent="0.2">
      <c r="A405" s="327"/>
      <c r="B405" s="201"/>
      <c r="C405" s="198"/>
      <c r="D405" s="204"/>
      <c r="E405" s="191">
        <v>2019</v>
      </c>
      <c r="F405" s="14">
        <f t="shared" ref="F405" si="41">SUM(G405:J405)</f>
        <v>46554.999999999993</v>
      </c>
      <c r="G405" s="14"/>
      <c r="H405" s="14"/>
      <c r="I405" s="14">
        <f>66280.9-19725.9</f>
        <v>46554.999999999993</v>
      </c>
      <c r="J405" s="14"/>
      <c r="K405" s="204"/>
      <c r="L405" s="123"/>
      <c r="M405" s="130"/>
    </row>
    <row r="406" spans="1:35" x14ac:dyDescent="0.2">
      <c r="A406" s="327"/>
      <c r="B406" s="201"/>
      <c r="C406" s="198"/>
      <c r="D406" s="204"/>
      <c r="E406" s="191">
        <v>2020</v>
      </c>
      <c r="F406" s="14">
        <f t="shared" si="40"/>
        <v>70058.899999999994</v>
      </c>
      <c r="G406" s="14"/>
      <c r="H406" s="14"/>
      <c r="I406" s="14">
        <v>70058.899999999994</v>
      </c>
      <c r="J406" s="14"/>
      <c r="K406" s="204"/>
    </row>
    <row r="407" spans="1:35" ht="15.75" customHeight="1" thickBot="1" x14ac:dyDescent="0.25">
      <c r="A407" s="327"/>
      <c r="B407" s="239"/>
      <c r="C407" s="322"/>
      <c r="D407" s="204"/>
      <c r="E407" s="24" t="s">
        <v>18</v>
      </c>
      <c r="F407" s="13">
        <f>SUM(F401:F406)</f>
        <v>300802.5</v>
      </c>
      <c r="G407" s="13"/>
      <c r="H407" s="13">
        <f>SUM(H404:H406)</f>
        <v>0</v>
      </c>
      <c r="I407" s="13">
        <f>SUM(I401:I406)</f>
        <v>300802.5</v>
      </c>
      <c r="J407" s="14"/>
      <c r="K407" s="205"/>
    </row>
    <row r="408" spans="1:35" ht="15" thickBot="1" x14ac:dyDescent="0.25">
      <c r="A408" s="237" t="s">
        <v>71</v>
      </c>
      <c r="B408" s="201"/>
      <c r="C408" s="201"/>
      <c r="D408" s="201"/>
      <c r="E408" s="201"/>
      <c r="F408" s="201"/>
      <c r="G408" s="201"/>
      <c r="H408" s="201"/>
      <c r="I408" s="201"/>
      <c r="J408" s="201"/>
      <c r="K408" s="201"/>
      <c r="L408" s="31"/>
      <c r="M408" s="70"/>
      <c r="N408" s="70"/>
      <c r="O408" s="70"/>
      <c r="P408" s="70"/>
      <c r="Q408" s="70"/>
      <c r="R408" s="70"/>
      <c r="S408" s="70"/>
      <c r="T408" s="70"/>
      <c r="U408" s="70"/>
      <c r="V408" s="70"/>
      <c r="W408" s="70"/>
      <c r="X408" s="70"/>
      <c r="Y408" s="70"/>
      <c r="Z408" s="70"/>
      <c r="AA408" s="70"/>
      <c r="AB408" s="70"/>
      <c r="AC408" s="70"/>
      <c r="AD408" s="70"/>
      <c r="AE408" s="70"/>
      <c r="AF408" s="70"/>
      <c r="AG408" s="70"/>
      <c r="AH408" s="70"/>
      <c r="AI408" s="71"/>
    </row>
    <row r="409" spans="1:35" x14ac:dyDescent="0.2">
      <c r="A409" s="342" t="s">
        <v>293</v>
      </c>
      <c r="B409" s="477" t="s">
        <v>161</v>
      </c>
      <c r="C409" s="228" t="s">
        <v>68</v>
      </c>
      <c r="D409" s="197" t="s">
        <v>218</v>
      </c>
      <c r="E409" s="191">
        <v>2015</v>
      </c>
      <c r="F409" s="14"/>
      <c r="G409" s="14"/>
      <c r="H409" s="14"/>
      <c r="I409" s="14"/>
      <c r="J409" s="14"/>
      <c r="K409" s="197" t="s">
        <v>162</v>
      </c>
      <c r="L409" s="34"/>
    </row>
    <row r="410" spans="1:35" x14ac:dyDescent="0.2">
      <c r="A410" s="343"/>
      <c r="B410" s="201"/>
      <c r="C410" s="198"/>
      <c r="D410" s="204"/>
      <c r="E410" s="191">
        <v>2016</v>
      </c>
      <c r="F410" s="14"/>
      <c r="G410" s="14"/>
      <c r="H410" s="14"/>
      <c r="I410" s="14"/>
      <c r="J410" s="14"/>
      <c r="K410" s="204"/>
    </row>
    <row r="411" spans="1:35" x14ac:dyDescent="0.2">
      <c r="A411" s="343"/>
      <c r="B411" s="201"/>
      <c r="C411" s="198"/>
      <c r="D411" s="204"/>
      <c r="E411" s="191">
        <v>2017</v>
      </c>
      <c r="F411" s="14"/>
      <c r="G411" s="14"/>
      <c r="H411" s="14"/>
      <c r="I411" s="14"/>
      <c r="J411" s="14"/>
      <c r="K411" s="204"/>
      <c r="L411" s="123"/>
    </row>
    <row r="412" spans="1:35" x14ac:dyDescent="0.2">
      <c r="A412" s="343"/>
      <c r="B412" s="201"/>
      <c r="C412" s="198"/>
      <c r="D412" s="204"/>
      <c r="E412" s="191">
        <v>2018</v>
      </c>
      <c r="F412" s="14">
        <f>SUM(G412:J412)</f>
        <v>470</v>
      </c>
      <c r="G412" s="14"/>
      <c r="H412" s="14"/>
      <c r="I412" s="14"/>
      <c r="J412" s="14">
        <f>470</f>
        <v>470</v>
      </c>
      <c r="K412" s="204"/>
      <c r="L412" s="123"/>
    </row>
    <row r="413" spans="1:35" x14ac:dyDescent="0.2">
      <c r="A413" s="343"/>
      <c r="B413" s="201"/>
      <c r="C413" s="198"/>
      <c r="D413" s="204"/>
      <c r="E413" s="191">
        <v>2019</v>
      </c>
      <c r="F413" s="14">
        <f>SUM(G413:J413)</f>
        <v>500</v>
      </c>
      <c r="G413" s="14"/>
      <c r="H413" s="14"/>
      <c r="I413" s="14"/>
      <c r="J413" s="14">
        <f>500</f>
        <v>500</v>
      </c>
      <c r="K413" s="204"/>
    </row>
    <row r="414" spans="1:35" x14ac:dyDescent="0.2">
      <c r="A414" s="343"/>
      <c r="B414" s="201"/>
      <c r="C414" s="198"/>
      <c r="D414" s="204"/>
      <c r="E414" s="191">
        <v>2020</v>
      </c>
      <c r="F414" s="14">
        <f>SUM(G414:J414)</f>
        <v>535</v>
      </c>
      <c r="G414" s="14"/>
      <c r="H414" s="14"/>
      <c r="I414" s="14"/>
      <c r="J414" s="14">
        <v>535</v>
      </c>
      <c r="K414" s="204"/>
    </row>
    <row r="415" spans="1:35" ht="25.5" customHeight="1" x14ac:dyDescent="0.2">
      <c r="A415" s="343"/>
      <c r="B415" s="201"/>
      <c r="C415" s="198"/>
      <c r="D415" s="204"/>
      <c r="E415" s="24" t="s">
        <v>18</v>
      </c>
      <c r="F415" s="13">
        <f>SUM(F409:F414)</f>
        <v>1505</v>
      </c>
      <c r="G415" s="14"/>
      <c r="H415" s="14"/>
      <c r="I415" s="14"/>
      <c r="J415" s="13">
        <f>SUM(J409:J414)</f>
        <v>1505</v>
      </c>
      <c r="K415" s="205"/>
    </row>
    <row r="416" spans="1:35" x14ac:dyDescent="0.2">
      <c r="A416" s="403" t="s">
        <v>72</v>
      </c>
      <c r="B416" s="211" t="s">
        <v>163</v>
      </c>
      <c r="C416" s="202" t="s">
        <v>68</v>
      </c>
      <c r="D416" s="197" t="s">
        <v>218</v>
      </c>
      <c r="E416" s="187">
        <v>2015</v>
      </c>
      <c r="F416" s="12"/>
      <c r="G416" s="12"/>
      <c r="H416" s="12"/>
      <c r="I416" s="12"/>
      <c r="J416" s="12"/>
      <c r="K416" s="197" t="s">
        <v>162</v>
      </c>
    </row>
    <row r="417" spans="1:14" x14ac:dyDescent="0.2">
      <c r="A417" s="207"/>
      <c r="B417" s="201"/>
      <c r="C417" s="203"/>
      <c r="D417" s="204"/>
      <c r="E417" s="191">
        <v>2016</v>
      </c>
      <c r="F417" s="14"/>
      <c r="G417" s="14"/>
      <c r="H417" s="14"/>
      <c r="I417" s="14"/>
      <c r="J417" s="14"/>
      <c r="K417" s="204"/>
    </row>
    <row r="418" spans="1:14" x14ac:dyDescent="0.2">
      <c r="A418" s="207"/>
      <c r="B418" s="201"/>
      <c r="C418" s="203"/>
      <c r="D418" s="204"/>
      <c r="E418" s="191">
        <v>2017</v>
      </c>
      <c r="F418" s="14"/>
      <c r="G418" s="14"/>
      <c r="H418" s="14"/>
      <c r="I418" s="14"/>
      <c r="J418" s="14"/>
      <c r="K418" s="204"/>
    </row>
    <row r="419" spans="1:14" x14ac:dyDescent="0.2">
      <c r="A419" s="207"/>
      <c r="B419" s="201"/>
      <c r="C419" s="203"/>
      <c r="D419" s="204"/>
      <c r="E419" s="191">
        <v>2018</v>
      </c>
      <c r="F419" s="14">
        <f>SUM(G419:J419)</f>
        <v>540</v>
      </c>
      <c r="G419" s="14"/>
      <c r="H419" s="14"/>
      <c r="I419" s="14"/>
      <c r="J419" s="14">
        <f>540</f>
        <v>540</v>
      </c>
      <c r="K419" s="204"/>
      <c r="L419" s="123"/>
    </row>
    <row r="420" spans="1:14" x14ac:dyDescent="0.2">
      <c r="A420" s="207"/>
      <c r="B420" s="201"/>
      <c r="C420" s="203"/>
      <c r="D420" s="204"/>
      <c r="E420" s="191">
        <v>2019</v>
      </c>
      <c r="F420" s="14">
        <f>SUM(G420:J420)</f>
        <v>570</v>
      </c>
      <c r="G420" s="14"/>
      <c r="H420" s="14"/>
      <c r="I420" s="14"/>
      <c r="J420" s="14">
        <f>570</f>
        <v>570</v>
      </c>
      <c r="K420" s="204"/>
    </row>
    <row r="421" spans="1:14" x14ac:dyDescent="0.2">
      <c r="A421" s="207"/>
      <c r="B421" s="201"/>
      <c r="C421" s="203"/>
      <c r="D421" s="204"/>
      <c r="E421" s="191">
        <v>2020</v>
      </c>
      <c r="F421" s="14">
        <f>SUM(G421:J421)</f>
        <v>600</v>
      </c>
      <c r="G421" s="14"/>
      <c r="H421" s="14"/>
      <c r="I421" s="14"/>
      <c r="J421" s="14">
        <v>600</v>
      </c>
      <c r="K421" s="204"/>
    </row>
    <row r="422" spans="1:14" x14ac:dyDescent="0.2">
      <c r="A422" s="404"/>
      <c r="B422" s="239"/>
      <c r="C422" s="203"/>
      <c r="D422" s="204"/>
      <c r="E422" s="32" t="s">
        <v>18</v>
      </c>
      <c r="F422" s="51">
        <f>SUM(F419:F421)</f>
        <v>1710</v>
      </c>
      <c r="G422" s="28"/>
      <c r="H422" s="28"/>
      <c r="I422" s="28"/>
      <c r="J422" s="51">
        <f>SUM(J416:J421)</f>
        <v>1710</v>
      </c>
      <c r="K422" s="204"/>
    </row>
    <row r="423" spans="1:14" x14ac:dyDescent="0.2">
      <c r="A423" s="206" t="s">
        <v>124</v>
      </c>
      <c r="B423" s="402" t="s">
        <v>228</v>
      </c>
      <c r="C423" s="228" t="s">
        <v>68</v>
      </c>
      <c r="D423" s="197" t="s">
        <v>218</v>
      </c>
      <c r="E423" s="191">
        <v>2015</v>
      </c>
      <c r="F423" s="14">
        <f t="shared" ref="F423:F428" si="42">SUM(G423:I423)</f>
        <v>1364.4</v>
      </c>
      <c r="G423" s="14"/>
      <c r="H423" s="14"/>
      <c r="I423" s="14">
        <f>1322.4+30+12</f>
        <v>1364.4</v>
      </c>
      <c r="J423" s="14"/>
      <c r="K423" s="197" t="s">
        <v>138</v>
      </c>
    </row>
    <row r="424" spans="1:14" x14ac:dyDescent="0.2">
      <c r="A424" s="207"/>
      <c r="B424" s="262"/>
      <c r="C424" s="198"/>
      <c r="D424" s="204"/>
      <c r="E424" s="191">
        <v>2016</v>
      </c>
      <c r="F424" s="12">
        <f t="shared" si="42"/>
        <v>1322.4</v>
      </c>
      <c r="G424" s="14"/>
      <c r="H424" s="14"/>
      <c r="I424" s="14">
        <v>1322.4</v>
      </c>
      <c r="J424" s="14"/>
      <c r="K424" s="204"/>
    </row>
    <row r="425" spans="1:14" x14ac:dyDescent="0.2">
      <c r="A425" s="207"/>
      <c r="B425" s="262"/>
      <c r="C425" s="198"/>
      <c r="D425" s="204"/>
      <c r="E425" s="191">
        <v>2017</v>
      </c>
      <c r="F425" s="12">
        <f t="shared" si="42"/>
        <v>4988.3</v>
      </c>
      <c r="G425" s="14"/>
      <c r="H425" s="14"/>
      <c r="I425" s="14">
        <f>1338.3+3116.8+533.2</f>
        <v>4988.3</v>
      </c>
      <c r="J425" s="14"/>
      <c r="K425" s="204"/>
      <c r="L425" s="123" t="s">
        <v>369</v>
      </c>
      <c r="M425" s="129"/>
      <c r="N425" s="130" t="s">
        <v>368</v>
      </c>
    </row>
    <row r="426" spans="1:14" x14ac:dyDescent="0.2">
      <c r="A426" s="207"/>
      <c r="B426" s="262"/>
      <c r="C426" s="198"/>
      <c r="D426" s="204"/>
      <c r="E426" s="191">
        <v>2018</v>
      </c>
      <c r="F426" s="12">
        <f t="shared" si="42"/>
        <v>1524.8</v>
      </c>
      <c r="G426" s="14"/>
      <c r="H426" s="14"/>
      <c r="I426" s="14">
        <f>1312+212.8</f>
        <v>1524.8</v>
      </c>
      <c r="J426" s="14"/>
      <c r="K426" s="204"/>
      <c r="L426" s="123"/>
      <c r="M426" s="129"/>
      <c r="N426" s="130"/>
    </row>
    <row r="427" spans="1:14" x14ac:dyDescent="0.2">
      <c r="A427" s="207"/>
      <c r="B427" s="262"/>
      <c r="C427" s="198"/>
      <c r="D427" s="204"/>
      <c r="E427" s="191">
        <v>2019</v>
      </c>
      <c r="F427" s="12">
        <f t="shared" ref="F427" si="43">SUM(G427:I427)</f>
        <v>1524.8</v>
      </c>
      <c r="G427" s="14"/>
      <c r="H427" s="14"/>
      <c r="I427" s="14">
        <f>1292.3+232.5</f>
        <v>1524.8</v>
      </c>
      <c r="J427" s="14"/>
      <c r="K427" s="204"/>
      <c r="L427" s="123"/>
      <c r="M427" s="129"/>
      <c r="N427" s="130"/>
    </row>
    <row r="428" spans="1:14" x14ac:dyDescent="0.2">
      <c r="A428" s="207"/>
      <c r="B428" s="262"/>
      <c r="C428" s="198"/>
      <c r="D428" s="204"/>
      <c r="E428" s="191">
        <v>2020</v>
      </c>
      <c r="F428" s="12">
        <f t="shared" si="42"/>
        <v>1236.0999999999999</v>
      </c>
      <c r="G428" s="14"/>
      <c r="H428" s="14"/>
      <c r="I428" s="14">
        <v>1236.0999999999999</v>
      </c>
      <c r="J428" s="14"/>
      <c r="K428" s="204"/>
    </row>
    <row r="429" spans="1:14" ht="29.25" customHeight="1" x14ac:dyDescent="0.2">
      <c r="A429" s="207"/>
      <c r="B429" s="262"/>
      <c r="C429" s="199"/>
      <c r="D429" s="205"/>
      <c r="E429" s="24" t="s">
        <v>18</v>
      </c>
      <c r="F429" s="13">
        <f>SUM(F423:F428)</f>
        <v>11960.8</v>
      </c>
      <c r="G429" s="14"/>
      <c r="H429" s="14"/>
      <c r="I429" s="13">
        <f>SUM(I423:I428)</f>
        <v>11960.8</v>
      </c>
      <c r="J429" s="14"/>
      <c r="K429" s="205"/>
    </row>
    <row r="430" spans="1:14" x14ac:dyDescent="0.2">
      <c r="A430" s="206" t="s">
        <v>125</v>
      </c>
      <c r="B430" s="402" t="s">
        <v>223</v>
      </c>
      <c r="C430" s="228" t="s">
        <v>68</v>
      </c>
      <c r="D430" s="197" t="s">
        <v>218</v>
      </c>
      <c r="E430" s="191">
        <v>2015</v>
      </c>
      <c r="F430" s="14">
        <f>H430+I430</f>
        <v>260.60000000000002</v>
      </c>
      <c r="G430" s="14"/>
      <c r="H430" s="14">
        <v>230</v>
      </c>
      <c r="I430" s="14">
        <v>30.6</v>
      </c>
      <c r="J430" s="14"/>
      <c r="K430" s="197" t="s">
        <v>164</v>
      </c>
    </row>
    <row r="431" spans="1:14" x14ac:dyDescent="0.2">
      <c r="A431" s="207"/>
      <c r="B431" s="262"/>
      <c r="C431" s="198"/>
      <c r="D431" s="204"/>
      <c r="E431" s="191">
        <v>2016</v>
      </c>
      <c r="F431" s="12"/>
      <c r="G431" s="14"/>
      <c r="H431" s="14"/>
      <c r="I431" s="14"/>
      <c r="J431" s="14"/>
      <c r="K431" s="204"/>
    </row>
    <row r="432" spans="1:14" x14ac:dyDescent="0.2">
      <c r="A432" s="207"/>
      <c r="B432" s="262"/>
      <c r="C432" s="198"/>
      <c r="D432" s="204"/>
      <c r="E432" s="191">
        <v>2017</v>
      </c>
      <c r="F432" s="12"/>
      <c r="G432" s="14"/>
      <c r="H432" s="14"/>
      <c r="I432" s="14"/>
      <c r="J432" s="14"/>
      <c r="K432" s="204"/>
    </row>
    <row r="433" spans="1:35" x14ac:dyDescent="0.2">
      <c r="A433" s="207"/>
      <c r="B433" s="262"/>
      <c r="C433" s="198"/>
      <c r="D433" s="204"/>
      <c r="E433" s="191">
        <v>2018</v>
      </c>
      <c r="F433" s="12"/>
      <c r="G433" s="14"/>
      <c r="H433" s="14"/>
      <c r="I433" s="14"/>
      <c r="J433" s="14"/>
      <c r="K433" s="204"/>
    </row>
    <row r="434" spans="1:35" x14ac:dyDescent="0.2">
      <c r="A434" s="207"/>
      <c r="B434" s="262"/>
      <c r="C434" s="198"/>
      <c r="D434" s="204"/>
      <c r="E434" s="191">
        <v>2019</v>
      </c>
      <c r="F434" s="12"/>
      <c r="G434" s="14"/>
      <c r="H434" s="14"/>
      <c r="I434" s="14"/>
      <c r="J434" s="14"/>
      <c r="K434" s="204"/>
    </row>
    <row r="435" spans="1:35" x14ac:dyDescent="0.2">
      <c r="A435" s="207"/>
      <c r="B435" s="262"/>
      <c r="C435" s="198"/>
      <c r="D435" s="204"/>
      <c r="E435" s="191">
        <v>2020</v>
      </c>
      <c r="F435" s="12"/>
      <c r="G435" s="14"/>
      <c r="H435" s="14"/>
      <c r="I435" s="14"/>
      <c r="J435" s="14"/>
      <c r="K435" s="204"/>
    </row>
    <row r="436" spans="1:35" x14ac:dyDescent="0.2">
      <c r="A436" s="207"/>
      <c r="B436" s="262"/>
      <c r="C436" s="199"/>
      <c r="D436" s="205"/>
      <c r="E436" s="24" t="s">
        <v>18</v>
      </c>
      <c r="F436" s="13">
        <f>SUM(F430:F435)</f>
        <v>260.60000000000002</v>
      </c>
      <c r="G436" s="14"/>
      <c r="H436" s="13">
        <f>H435+H434+H433+H432+H430+H431</f>
        <v>230</v>
      </c>
      <c r="I436" s="13">
        <f>SUM(I430:I435)</f>
        <v>30.6</v>
      </c>
      <c r="J436" s="14"/>
      <c r="K436" s="205"/>
    </row>
    <row r="437" spans="1:35" ht="15" customHeight="1" x14ac:dyDescent="0.2">
      <c r="A437" s="225" t="s">
        <v>298</v>
      </c>
      <c r="B437" s="226" t="s">
        <v>248</v>
      </c>
      <c r="C437" s="229" t="s">
        <v>224</v>
      </c>
      <c r="D437" s="204" t="s">
        <v>218</v>
      </c>
      <c r="E437" s="187">
        <v>2016</v>
      </c>
      <c r="F437" s="14">
        <f>G437+H437+I437</f>
        <v>445</v>
      </c>
      <c r="G437" s="113"/>
      <c r="H437" s="113"/>
      <c r="I437" s="112">
        <v>445</v>
      </c>
      <c r="J437" s="112"/>
      <c r="K437" s="204" t="s">
        <v>140</v>
      </c>
    </row>
    <row r="438" spans="1:35" ht="12.75" customHeight="1" x14ac:dyDescent="0.2">
      <c r="A438" s="225"/>
      <c r="B438" s="227"/>
      <c r="C438" s="229"/>
      <c r="D438" s="204"/>
      <c r="E438" s="191">
        <v>2017</v>
      </c>
      <c r="F438" s="14">
        <f>G438+H438+I438</f>
        <v>480.6</v>
      </c>
      <c r="G438" s="51"/>
      <c r="H438" s="51"/>
      <c r="I438" s="28">
        <v>480.6</v>
      </c>
      <c r="J438" s="28"/>
      <c r="K438" s="204"/>
      <c r="L438" s="123"/>
      <c r="O438" s="123"/>
    </row>
    <row r="439" spans="1:35" ht="15" customHeight="1" x14ac:dyDescent="0.2">
      <c r="A439" s="225"/>
      <c r="B439" s="227"/>
      <c r="C439" s="229"/>
      <c r="D439" s="204"/>
      <c r="E439" s="191">
        <v>2018</v>
      </c>
      <c r="F439" s="14">
        <f>G439+H439+I439</f>
        <v>480.6</v>
      </c>
      <c r="G439" s="51"/>
      <c r="H439" s="51"/>
      <c r="I439" s="28">
        <v>480.6</v>
      </c>
      <c r="J439" s="28"/>
      <c r="K439" s="204"/>
      <c r="L439" s="123"/>
    </row>
    <row r="440" spans="1:35" ht="13.5" customHeight="1" x14ac:dyDescent="0.2">
      <c r="A440" s="225"/>
      <c r="B440" s="227"/>
      <c r="C440" s="229"/>
      <c r="D440" s="204"/>
      <c r="E440" s="191">
        <v>2019</v>
      </c>
      <c r="F440" s="112">
        <f>G440+H440+I440</f>
        <v>480.6</v>
      </c>
      <c r="G440" s="51"/>
      <c r="H440" s="51"/>
      <c r="I440" s="28">
        <v>480.6</v>
      </c>
      <c r="J440" s="28"/>
      <c r="K440" s="204"/>
      <c r="L440" s="123"/>
    </row>
    <row r="441" spans="1:35" ht="12.75" customHeight="1" x14ac:dyDescent="0.2">
      <c r="A441" s="225"/>
      <c r="B441" s="227"/>
      <c r="C441" s="229"/>
      <c r="D441" s="204"/>
      <c r="E441" s="191">
        <v>2020</v>
      </c>
      <c r="F441" s="51"/>
      <c r="G441" s="51"/>
      <c r="H441" s="51"/>
      <c r="I441" s="51"/>
      <c r="J441" s="28"/>
      <c r="K441" s="204"/>
    </row>
    <row r="442" spans="1:35" ht="21" customHeight="1" x14ac:dyDescent="0.2">
      <c r="A442" s="287"/>
      <c r="B442" s="211"/>
      <c r="C442" s="236"/>
      <c r="D442" s="205"/>
      <c r="E442" s="32" t="s">
        <v>18</v>
      </c>
      <c r="F442" s="51">
        <f>G442+H442+I442</f>
        <v>1886.8000000000002</v>
      </c>
      <c r="G442" s="51"/>
      <c r="H442" s="51"/>
      <c r="I442" s="51">
        <f>SUM(I437:I441)</f>
        <v>1886.8000000000002</v>
      </c>
      <c r="J442" s="28"/>
      <c r="K442" s="205"/>
    </row>
    <row r="443" spans="1:35" ht="15" customHeight="1" x14ac:dyDescent="0.2">
      <c r="A443" s="225" t="s">
        <v>299</v>
      </c>
      <c r="B443" s="226" t="s">
        <v>269</v>
      </c>
      <c r="C443" s="229" t="s">
        <v>224</v>
      </c>
      <c r="D443" s="204" t="s">
        <v>218</v>
      </c>
      <c r="E443" s="191">
        <v>2017</v>
      </c>
      <c r="F443" s="14">
        <f>G443+H443+I443</f>
        <v>1169.2</v>
      </c>
      <c r="G443" s="13"/>
      <c r="H443" s="13"/>
      <c r="I443" s="14">
        <v>1169.2</v>
      </c>
      <c r="J443" s="14"/>
      <c r="K443" s="204" t="s">
        <v>270</v>
      </c>
      <c r="L443" s="123"/>
    </row>
    <row r="444" spans="1:35" ht="52.5" customHeight="1" thickBot="1" x14ac:dyDescent="0.25">
      <c r="A444" s="287"/>
      <c r="B444" s="211"/>
      <c r="C444" s="236"/>
      <c r="D444" s="205"/>
      <c r="E444" s="32" t="s">
        <v>18</v>
      </c>
      <c r="F444" s="51">
        <f>G444+H444+I444</f>
        <v>1169.2</v>
      </c>
      <c r="G444" s="51"/>
      <c r="H444" s="51"/>
      <c r="I444" s="51">
        <f>SUM(I443:I443)</f>
        <v>1169.2</v>
      </c>
      <c r="J444" s="28"/>
      <c r="K444" s="205"/>
    </row>
    <row r="445" spans="1:35" ht="13.5" customHeight="1" thickBot="1" x14ac:dyDescent="0.25">
      <c r="A445" s="363" t="s">
        <v>184</v>
      </c>
      <c r="B445" s="400"/>
      <c r="C445" s="400"/>
      <c r="D445" s="401"/>
      <c r="E445" s="6" t="s">
        <v>61</v>
      </c>
      <c r="F445" s="17">
        <f>SUM(G445:J445)</f>
        <v>319294.89999999997</v>
      </c>
      <c r="G445" s="19">
        <f>G407+G415+G422+G429</f>
        <v>0</v>
      </c>
      <c r="H445" s="17">
        <f>H407+H415+H422+H429+H398+H436+H442+H444</f>
        <v>230</v>
      </c>
      <c r="I445" s="17">
        <f>I407+I415+I422+I429+I398+I436+I442+I444</f>
        <v>315849.89999999997</v>
      </c>
      <c r="J445" s="17">
        <f>J407+J415+J422+J429+J398</f>
        <v>3215</v>
      </c>
      <c r="K445" s="6"/>
      <c r="L445" s="154"/>
      <c r="M445" s="155"/>
      <c r="N445" s="72"/>
    </row>
    <row r="446" spans="1:35" ht="32.25" customHeight="1" thickBot="1" x14ac:dyDescent="0.3">
      <c r="A446" s="237" t="s">
        <v>73</v>
      </c>
      <c r="B446" s="201"/>
      <c r="C446" s="201"/>
      <c r="D446" s="201"/>
      <c r="E446" s="201"/>
      <c r="F446" s="201"/>
      <c r="G446" s="201"/>
      <c r="H446" s="201"/>
      <c r="I446" s="201"/>
      <c r="J446" s="201"/>
      <c r="K446" s="201"/>
      <c r="L446" s="73"/>
      <c r="M446" s="73"/>
      <c r="N446" s="73"/>
      <c r="O446" s="73"/>
      <c r="P446" s="73"/>
      <c r="Q446" s="73"/>
      <c r="R446" s="73"/>
      <c r="S446" s="73"/>
      <c r="T446" s="73"/>
      <c r="U446" s="73"/>
      <c r="V446" s="73"/>
      <c r="W446" s="73"/>
      <c r="X446" s="73"/>
      <c r="Y446" s="73"/>
      <c r="Z446" s="73"/>
      <c r="AA446" s="73"/>
      <c r="AB446" s="73"/>
      <c r="AC446" s="73"/>
      <c r="AD446" s="73"/>
      <c r="AE446" s="73"/>
      <c r="AF446" s="73"/>
      <c r="AG446" s="73"/>
      <c r="AH446" s="73"/>
      <c r="AI446" s="74"/>
    </row>
    <row r="447" spans="1:35" ht="17.25" customHeight="1" thickBot="1" x14ac:dyDescent="0.25">
      <c r="A447" s="238" t="s">
        <v>74</v>
      </c>
      <c r="B447" s="239"/>
      <c r="C447" s="239"/>
      <c r="D447" s="239"/>
      <c r="E447" s="239"/>
      <c r="F447" s="239"/>
      <c r="G447" s="239"/>
      <c r="H447" s="239"/>
      <c r="I447" s="239"/>
      <c r="J447" s="239"/>
      <c r="K447" s="239"/>
      <c r="L447" s="70"/>
      <c r="M447" s="70"/>
      <c r="N447" s="70"/>
      <c r="O447" s="70"/>
      <c r="P447" s="70"/>
      <c r="Q447" s="70"/>
      <c r="R447" s="70"/>
      <c r="S447" s="70"/>
      <c r="T447" s="70"/>
      <c r="U447" s="70"/>
      <c r="V447" s="70"/>
      <c r="W447" s="70"/>
      <c r="X447" s="70"/>
      <c r="Y447" s="70"/>
      <c r="Z447" s="70"/>
      <c r="AA447" s="70"/>
      <c r="AB447" s="70"/>
      <c r="AC447" s="70"/>
      <c r="AD447" s="70"/>
      <c r="AE447" s="70"/>
      <c r="AF447" s="70"/>
      <c r="AG447" s="70"/>
      <c r="AH447" s="70"/>
      <c r="AI447" s="71"/>
    </row>
    <row r="448" spans="1:35" ht="12.75" customHeight="1" x14ac:dyDescent="0.2">
      <c r="A448" s="397" t="s">
        <v>93</v>
      </c>
      <c r="B448" s="394" t="s">
        <v>165</v>
      </c>
      <c r="C448" s="228" t="s">
        <v>68</v>
      </c>
      <c r="D448" s="197" t="s">
        <v>218</v>
      </c>
      <c r="E448" s="191">
        <v>2015</v>
      </c>
      <c r="F448" s="94">
        <f t="shared" ref="F448:F453" si="44">SUM(G448:I448)</f>
        <v>25</v>
      </c>
      <c r="G448" s="14"/>
      <c r="H448" s="14"/>
      <c r="I448" s="14">
        <v>25</v>
      </c>
      <c r="J448" s="14"/>
      <c r="K448" s="197" t="s">
        <v>167</v>
      </c>
    </row>
    <row r="449" spans="1:12" x14ac:dyDescent="0.2">
      <c r="A449" s="398"/>
      <c r="B449" s="395"/>
      <c r="C449" s="198"/>
      <c r="D449" s="198"/>
      <c r="E449" s="191">
        <v>2016</v>
      </c>
      <c r="F449" s="94">
        <f t="shared" si="44"/>
        <v>23.6</v>
      </c>
      <c r="G449" s="14"/>
      <c r="H449" s="14"/>
      <c r="I449" s="14">
        <f>26.3-2.7</f>
        <v>23.6</v>
      </c>
      <c r="J449" s="14"/>
      <c r="K449" s="204"/>
    </row>
    <row r="450" spans="1:12" x14ac:dyDescent="0.2">
      <c r="A450" s="398"/>
      <c r="B450" s="395"/>
      <c r="C450" s="198"/>
      <c r="D450" s="198"/>
      <c r="E450" s="191">
        <v>2017</v>
      </c>
      <c r="F450" s="94">
        <f t="shared" si="44"/>
        <v>27</v>
      </c>
      <c r="G450" s="14"/>
      <c r="H450" s="14"/>
      <c r="I450" s="14">
        <v>27</v>
      </c>
      <c r="J450" s="14"/>
      <c r="K450" s="204"/>
      <c r="L450" s="123"/>
    </row>
    <row r="451" spans="1:12" x14ac:dyDescent="0.2">
      <c r="A451" s="398"/>
      <c r="B451" s="395"/>
      <c r="C451" s="198"/>
      <c r="D451" s="198"/>
      <c r="E451" s="191">
        <v>2018</v>
      </c>
      <c r="F451" s="94">
        <f t="shared" si="44"/>
        <v>27.9</v>
      </c>
      <c r="G451" s="14"/>
      <c r="H451" s="14"/>
      <c r="I451" s="14">
        <v>27.9</v>
      </c>
      <c r="J451" s="14"/>
      <c r="K451" s="204"/>
      <c r="L451" s="123"/>
    </row>
    <row r="452" spans="1:12" x14ac:dyDescent="0.2">
      <c r="A452" s="398"/>
      <c r="B452" s="395"/>
      <c r="C452" s="198"/>
      <c r="D452" s="198"/>
      <c r="E452" s="191">
        <v>2019</v>
      </c>
      <c r="F452" s="94">
        <f t="shared" si="44"/>
        <v>29</v>
      </c>
      <c r="G452" s="14"/>
      <c r="H452" s="14"/>
      <c r="I452" s="14">
        <v>29</v>
      </c>
      <c r="J452" s="14"/>
      <c r="K452" s="204"/>
      <c r="L452" s="123"/>
    </row>
    <row r="453" spans="1:12" x14ac:dyDescent="0.2">
      <c r="A453" s="398"/>
      <c r="B453" s="395"/>
      <c r="C453" s="198"/>
      <c r="D453" s="198"/>
      <c r="E453" s="191">
        <v>2020</v>
      </c>
      <c r="F453" s="94">
        <f t="shared" si="44"/>
        <v>30</v>
      </c>
      <c r="G453" s="13"/>
      <c r="H453" s="13"/>
      <c r="I453" s="14">
        <v>30</v>
      </c>
      <c r="J453" s="13"/>
      <c r="K453" s="204"/>
    </row>
    <row r="454" spans="1:12" x14ac:dyDescent="0.2">
      <c r="A454" s="399"/>
      <c r="B454" s="396"/>
      <c r="C454" s="198"/>
      <c r="D454" s="199"/>
      <c r="E454" s="24" t="s">
        <v>18</v>
      </c>
      <c r="F454" s="20">
        <f>SUM(F448:F453)</f>
        <v>162.5</v>
      </c>
      <c r="G454" s="13"/>
      <c r="H454" s="13"/>
      <c r="I454" s="13">
        <f>SUM(I448:I453)</f>
        <v>162.5</v>
      </c>
      <c r="J454" s="13"/>
      <c r="K454" s="204"/>
    </row>
    <row r="455" spans="1:12" x14ac:dyDescent="0.2">
      <c r="A455" s="397" t="s">
        <v>67</v>
      </c>
      <c r="B455" s="394" t="s">
        <v>229</v>
      </c>
      <c r="C455" s="202" t="s">
        <v>68</v>
      </c>
      <c r="D455" s="197" t="s">
        <v>218</v>
      </c>
      <c r="E455" s="191">
        <v>2015</v>
      </c>
      <c r="F455" s="94">
        <f t="shared" ref="F455:F460" si="45">SUM(G455:I455)</f>
        <v>15</v>
      </c>
      <c r="G455" s="14"/>
      <c r="H455" s="14"/>
      <c r="I455" s="14">
        <v>15</v>
      </c>
      <c r="J455" s="14"/>
      <c r="K455" s="204"/>
    </row>
    <row r="456" spans="1:12" x14ac:dyDescent="0.2">
      <c r="A456" s="398"/>
      <c r="B456" s="395"/>
      <c r="C456" s="203"/>
      <c r="D456" s="198"/>
      <c r="E456" s="191">
        <v>2016</v>
      </c>
      <c r="F456" s="94">
        <f t="shared" si="45"/>
        <v>15</v>
      </c>
      <c r="G456" s="14"/>
      <c r="H456" s="14"/>
      <c r="I456" s="14">
        <f>16-1</f>
        <v>15</v>
      </c>
      <c r="J456" s="14"/>
      <c r="K456" s="204"/>
    </row>
    <row r="457" spans="1:12" x14ac:dyDescent="0.2">
      <c r="A457" s="398"/>
      <c r="B457" s="395"/>
      <c r="C457" s="203"/>
      <c r="D457" s="198"/>
      <c r="E457" s="191">
        <v>2017</v>
      </c>
      <c r="F457" s="94">
        <f t="shared" si="45"/>
        <v>16</v>
      </c>
      <c r="G457" s="14"/>
      <c r="H457" s="14"/>
      <c r="I457" s="14">
        <v>16</v>
      </c>
      <c r="J457" s="14"/>
      <c r="K457" s="204"/>
      <c r="L457" s="123"/>
    </row>
    <row r="458" spans="1:12" x14ac:dyDescent="0.2">
      <c r="A458" s="398"/>
      <c r="B458" s="395"/>
      <c r="C458" s="203"/>
      <c r="D458" s="198"/>
      <c r="E458" s="191">
        <v>2018</v>
      </c>
      <c r="F458" s="94">
        <f t="shared" si="45"/>
        <v>19.5</v>
      </c>
      <c r="G458" s="14"/>
      <c r="H458" s="14"/>
      <c r="I458" s="14">
        <v>19.5</v>
      </c>
      <c r="J458" s="14"/>
      <c r="K458" s="204"/>
      <c r="L458" s="123"/>
    </row>
    <row r="459" spans="1:12" x14ac:dyDescent="0.2">
      <c r="A459" s="398"/>
      <c r="B459" s="395"/>
      <c r="C459" s="203"/>
      <c r="D459" s="198"/>
      <c r="E459" s="191">
        <v>2019</v>
      </c>
      <c r="F459" s="94">
        <f t="shared" si="45"/>
        <v>20.5</v>
      </c>
      <c r="G459" s="14"/>
      <c r="H459" s="14"/>
      <c r="I459" s="14">
        <v>20.5</v>
      </c>
      <c r="J459" s="14"/>
      <c r="K459" s="204"/>
      <c r="L459" s="123"/>
    </row>
    <row r="460" spans="1:12" x14ac:dyDescent="0.2">
      <c r="A460" s="398"/>
      <c r="B460" s="395"/>
      <c r="C460" s="203"/>
      <c r="D460" s="198"/>
      <c r="E460" s="191">
        <v>2020</v>
      </c>
      <c r="F460" s="94">
        <f t="shared" si="45"/>
        <v>22</v>
      </c>
      <c r="G460" s="13"/>
      <c r="H460" s="13"/>
      <c r="I460" s="14">
        <v>22</v>
      </c>
      <c r="J460" s="13"/>
      <c r="K460" s="204"/>
    </row>
    <row r="461" spans="1:12" x14ac:dyDescent="0.2">
      <c r="A461" s="399"/>
      <c r="B461" s="396"/>
      <c r="C461" s="203"/>
      <c r="D461" s="199"/>
      <c r="E461" s="24" t="s">
        <v>18</v>
      </c>
      <c r="F461" s="20">
        <f>SUM(F455:F460)</f>
        <v>108</v>
      </c>
      <c r="G461" s="13"/>
      <c r="H461" s="13"/>
      <c r="I461" s="13">
        <f>SUM(I455:I460)</f>
        <v>108</v>
      </c>
      <c r="J461" s="13"/>
      <c r="K461" s="205"/>
    </row>
    <row r="462" spans="1:12" ht="14.25" x14ac:dyDescent="0.2">
      <c r="A462" s="237" t="s">
        <v>75</v>
      </c>
      <c r="B462" s="201"/>
      <c r="C462" s="393"/>
      <c r="D462" s="201"/>
      <c r="E462" s="201"/>
      <c r="F462" s="201"/>
      <c r="G462" s="201"/>
      <c r="H462" s="201"/>
      <c r="I462" s="201"/>
      <c r="J462" s="201"/>
      <c r="K462" s="201"/>
    </row>
    <row r="463" spans="1:12" x14ac:dyDescent="0.2">
      <c r="A463" s="389" t="s">
        <v>43</v>
      </c>
      <c r="B463" s="392" t="s">
        <v>134</v>
      </c>
      <c r="C463" s="228" t="s">
        <v>68</v>
      </c>
      <c r="D463" s="197" t="s">
        <v>218</v>
      </c>
      <c r="E463" s="191">
        <v>2015</v>
      </c>
      <c r="F463" s="94">
        <f t="shared" ref="F463:F468" si="46">SUM(G463:I463)</f>
        <v>10</v>
      </c>
      <c r="G463" s="14"/>
      <c r="H463" s="14"/>
      <c r="I463" s="14">
        <v>10</v>
      </c>
      <c r="J463" s="14"/>
      <c r="K463" s="197" t="s">
        <v>166</v>
      </c>
    </row>
    <row r="464" spans="1:12" x14ac:dyDescent="0.2">
      <c r="A464" s="390"/>
      <c r="B464" s="323"/>
      <c r="C464" s="198"/>
      <c r="D464" s="198"/>
      <c r="E464" s="191">
        <v>2016</v>
      </c>
      <c r="F464" s="94">
        <f t="shared" si="46"/>
        <v>7.7</v>
      </c>
      <c r="G464" s="14"/>
      <c r="H464" s="14"/>
      <c r="I464" s="14">
        <f>11-3.3</f>
        <v>7.7</v>
      </c>
      <c r="J464" s="14"/>
      <c r="K464" s="204"/>
      <c r="L464" s="123"/>
    </row>
    <row r="465" spans="1:13" x14ac:dyDescent="0.2">
      <c r="A465" s="390"/>
      <c r="B465" s="323"/>
      <c r="C465" s="198"/>
      <c r="D465" s="198"/>
      <c r="E465" s="191">
        <v>2017</v>
      </c>
      <c r="F465" s="94">
        <f t="shared" si="46"/>
        <v>8.6999999999999993</v>
      </c>
      <c r="G465" s="14"/>
      <c r="H465" s="14"/>
      <c r="I465" s="14">
        <v>8.6999999999999993</v>
      </c>
      <c r="J465" s="14"/>
      <c r="K465" s="204"/>
      <c r="L465" s="123"/>
    </row>
    <row r="466" spans="1:13" x14ac:dyDescent="0.2">
      <c r="A466" s="390"/>
      <c r="B466" s="323"/>
      <c r="C466" s="198"/>
      <c r="D466" s="198"/>
      <c r="E466" s="191">
        <v>2018</v>
      </c>
      <c r="F466" s="94">
        <f t="shared" si="46"/>
        <v>13</v>
      </c>
      <c r="G466" s="14"/>
      <c r="H466" s="14"/>
      <c r="I466" s="14">
        <v>13</v>
      </c>
      <c r="J466" s="14"/>
      <c r="K466" s="204"/>
      <c r="L466" s="123"/>
    </row>
    <row r="467" spans="1:13" x14ac:dyDescent="0.2">
      <c r="A467" s="390"/>
      <c r="B467" s="323"/>
      <c r="C467" s="198"/>
      <c r="D467" s="198"/>
      <c r="E467" s="191">
        <v>2019</v>
      </c>
      <c r="F467" s="94">
        <f t="shared" si="46"/>
        <v>14</v>
      </c>
      <c r="G467" s="14"/>
      <c r="H467" s="14"/>
      <c r="I467" s="14">
        <v>14</v>
      </c>
      <c r="J467" s="14"/>
      <c r="K467" s="204"/>
      <c r="L467" s="123"/>
    </row>
    <row r="468" spans="1:13" x14ac:dyDescent="0.2">
      <c r="A468" s="390"/>
      <c r="B468" s="323"/>
      <c r="C468" s="198"/>
      <c r="D468" s="198"/>
      <c r="E468" s="191">
        <v>2020</v>
      </c>
      <c r="F468" s="94">
        <f t="shared" si="46"/>
        <v>15</v>
      </c>
      <c r="G468" s="14"/>
      <c r="H468" s="14"/>
      <c r="I468" s="14">
        <v>15</v>
      </c>
      <c r="J468" s="14"/>
      <c r="K468" s="204"/>
    </row>
    <row r="469" spans="1:13" ht="18" customHeight="1" thickBot="1" x14ac:dyDescent="0.25">
      <c r="A469" s="391"/>
      <c r="B469" s="310"/>
      <c r="C469" s="198"/>
      <c r="D469" s="198"/>
      <c r="E469" s="32" t="s">
        <v>18</v>
      </c>
      <c r="F469" s="17">
        <f>SUM(F463:F468)</f>
        <v>68.400000000000006</v>
      </c>
      <c r="G469" s="51"/>
      <c r="H469" s="51"/>
      <c r="I469" s="51">
        <f>SUM(I463:I468)</f>
        <v>68.400000000000006</v>
      </c>
      <c r="J469" s="28"/>
      <c r="K469" s="204"/>
      <c r="L469" s="151"/>
      <c r="M469" s="152"/>
    </row>
    <row r="470" spans="1:13" ht="18" customHeight="1" thickBot="1" x14ac:dyDescent="0.25">
      <c r="A470" s="387" t="s">
        <v>195</v>
      </c>
      <c r="B470" s="388"/>
      <c r="C470" s="388"/>
      <c r="D470" s="388"/>
      <c r="E470" s="116" t="s">
        <v>61</v>
      </c>
      <c r="F470" s="117">
        <f>F454+F469+F461</f>
        <v>338.9</v>
      </c>
      <c r="G470" s="117">
        <f>G454+G469+G461</f>
        <v>0</v>
      </c>
      <c r="H470" s="117">
        <f>H454+H469+H461</f>
        <v>0</v>
      </c>
      <c r="I470" s="117">
        <f>I454+I469+I461</f>
        <v>338.9</v>
      </c>
      <c r="J470" s="118"/>
      <c r="K470" s="119"/>
    </row>
    <row r="471" spans="1:13" ht="15" thickBot="1" x14ac:dyDescent="0.25">
      <c r="A471" s="306" t="s">
        <v>196</v>
      </c>
      <c r="B471" s="307"/>
      <c r="C471" s="307"/>
      <c r="D471" s="307"/>
      <c r="E471" s="307"/>
      <c r="F471" s="307"/>
      <c r="G471" s="307"/>
      <c r="H471" s="307"/>
      <c r="I471" s="307"/>
      <c r="J471" s="307"/>
      <c r="K471" s="308"/>
    </row>
    <row r="472" spans="1:13" ht="14.25" x14ac:dyDescent="0.2">
      <c r="A472" s="312" t="s">
        <v>76</v>
      </c>
      <c r="B472" s="313"/>
      <c r="C472" s="313"/>
      <c r="D472" s="313"/>
      <c r="E472" s="314"/>
      <c r="F472" s="314"/>
      <c r="G472" s="314"/>
      <c r="H472" s="314"/>
      <c r="I472" s="314"/>
      <c r="J472" s="314"/>
      <c r="K472" s="315"/>
    </row>
    <row r="473" spans="1:13" x14ac:dyDescent="0.2">
      <c r="A473" s="316" t="s">
        <v>77</v>
      </c>
      <c r="B473" s="200" t="s">
        <v>78</v>
      </c>
      <c r="C473" s="228" t="s">
        <v>68</v>
      </c>
      <c r="D473" s="197" t="s">
        <v>218</v>
      </c>
      <c r="E473" s="191">
        <v>2015</v>
      </c>
      <c r="F473" s="94">
        <f t="shared" ref="F473:F478" si="47">SUM(G473:I473)</f>
        <v>50</v>
      </c>
      <c r="G473" s="14"/>
      <c r="H473" s="14"/>
      <c r="I473" s="14">
        <v>50</v>
      </c>
      <c r="J473" s="14"/>
      <c r="K473" s="197" t="s">
        <v>169</v>
      </c>
    </row>
    <row r="474" spans="1:13" x14ac:dyDescent="0.2">
      <c r="A474" s="317"/>
      <c r="B474" s="201"/>
      <c r="C474" s="198"/>
      <c r="D474" s="198"/>
      <c r="E474" s="191">
        <v>2016</v>
      </c>
      <c r="F474" s="94">
        <f t="shared" si="47"/>
        <v>83</v>
      </c>
      <c r="G474" s="14"/>
      <c r="H474" s="14"/>
      <c r="I474" s="14">
        <f>60+23</f>
        <v>83</v>
      </c>
      <c r="J474" s="14"/>
      <c r="K474" s="204"/>
      <c r="L474" s="123"/>
    </row>
    <row r="475" spans="1:13" x14ac:dyDescent="0.2">
      <c r="A475" s="317"/>
      <c r="B475" s="201"/>
      <c r="C475" s="198"/>
      <c r="D475" s="198"/>
      <c r="E475" s="191">
        <v>2017</v>
      </c>
      <c r="F475" s="94">
        <f t="shared" si="47"/>
        <v>70</v>
      </c>
      <c r="G475" s="14"/>
      <c r="H475" s="14"/>
      <c r="I475" s="14">
        <v>70</v>
      </c>
      <c r="J475" s="14"/>
      <c r="K475" s="204"/>
      <c r="L475" s="123"/>
    </row>
    <row r="476" spans="1:13" x14ac:dyDescent="0.2">
      <c r="A476" s="317"/>
      <c r="B476" s="201"/>
      <c r="C476" s="198"/>
      <c r="D476" s="198"/>
      <c r="E476" s="191">
        <v>2018</v>
      </c>
      <c r="F476" s="94">
        <f t="shared" si="47"/>
        <v>80</v>
      </c>
      <c r="G476" s="14"/>
      <c r="H476" s="14"/>
      <c r="I476" s="14">
        <v>80</v>
      </c>
      <c r="J476" s="14"/>
      <c r="K476" s="204"/>
      <c r="L476" s="123"/>
    </row>
    <row r="477" spans="1:13" x14ac:dyDescent="0.2">
      <c r="A477" s="317"/>
      <c r="B477" s="201"/>
      <c r="C477" s="198"/>
      <c r="D477" s="198"/>
      <c r="E477" s="191">
        <v>2019</v>
      </c>
      <c r="F477" s="94">
        <f t="shared" si="47"/>
        <v>90</v>
      </c>
      <c r="G477" s="14"/>
      <c r="H477" s="14"/>
      <c r="I477" s="14">
        <v>90</v>
      </c>
      <c r="J477" s="14"/>
      <c r="K477" s="204"/>
      <c r="L477" s="123"/>
    </row>
    <row r="478" spans="1:13" x14ac:dyDescent="0.2">
      <c r="A478" s="317"/>
      <c r="B478" s="201"/>
      <c r="C478" s="198"/>
      <c r="D478" s="198"/>
      <c r="E478" s="191">
        <v>2020</v>
      </c>
      <c r="F478" s="94">
        <f t="shared" si="47"/>
        <v>100</v>
      </c>
      <c r="G478" s="14"/>
      <c r="H478" s="14"/>
      <c r="I478" s="14">
        <v>100</v>
      </c>
      <c r="J478" s="14"/>
      <c r="K478" s="204"/>
    </row>
    <row r="479" spans="1:13" x14ac:dyDescent="0.2">
      <c r="A479" s="317"/>
      <c r="B479" s="239"/>
      <c r="C479" s="198"/>
      <c r="D479" s="199"/>
      <c r="E479" s="32" t="s">
        <v>18</v>
      </c>
      <c r="F479" s="20">
        <f>SUM(F473:F478)</f>
        <v>473</v>
      </c>
      <c r="G479" s="13"/>
      <c r="H479" s="13"/>
      <c r="I479" s="13">
        <f>SUM(I473:I478)</f>
        <v>473</v>
      </c>
      <c r="J479" s="14"/>
      <c r="K479" s="204"/>
    </row>
    <row r="480" spans="1:13" x14ac:dyDescent="0.2">
      <c r="A480" s="316" t="s">
        <v>79</v>
      </c>
      <c r="B480" s="200" t="s">
        <v>80</v>
      </c>
      <c r="C480" s="202" t="s">
        <v>68</v>
      </c>
      <c r="D480" s="197" t="s">
        <v>218</v>
      </c>
      <c r="E480" s="191">
        <v>2015</v>
      </c>
      <c r="F480" s="79">
        <f t="shared" ref="F480:F485" si="48">SUM(G480:I480)</f>
        <v>150</v>
      </c>
      <c r="G480" s="14"/>
      <c r="H480" s="14"/>
      <c r="I480" s="14">
        <v>150</v>
      </c>
      <c r="J480" s="14"/>
      <c r="K480" s="204"/>
    </row>
    <row r="481" spans="1:12" x14ac:dyDescent="0.2">
      <c r="A481" s="317"/>
      <c r="B481" s="200"/>
      <c r="C481" s="203"/>
      <c r="D481" s="198"/>
      <c r="E481" s="191">
        <v>2016</v>
      </c>
      <c r="F481" s="79">
        <f t="shared" si="48"/>
        <v>180</v>
      </c>
      <c r="G481" s="14"/>
      <c r="H481" s="14"/>
      <c r="I481" s="14">
        <v>180</v>
      </c>
      <c r="J481" s="14"/>
      <c r="K481" s="204"/>
    </row>
    <row r="482" spans="1:12" x14ac:dyDescent="0.2">
      <c r="A482" s="317"/>
      <c r="B482" s="200"/>
      <c r="C482" s="203"/>
      <c r="D482" s="198"/>
      <c r="E482" s="191">
        <v>2017</v>
      </c>
      <c r="F482" s="79">
        <f t="shared" si="48"/>
        <v>0</v>
      </c>
      <c r="G482" s="14"/>
      <c r="H482" s="14"/>
      <c r="I482" s="14">
        <v>0</v>
      </c>
      <c r="J482" s="14"/>
      <c r="K482" s="204"/>
      <c r="L482" s="123"/>
    </row>
    <row r="483" spans="1:12" x14ac:dyDescent="0.2">
      <c r="A483" s="317"/>
      <c r="B483" s="200"/>
      <c r="C483" s="203"/>
      <c r="D483" s="198"/>
      <c r="E483" s="191">
        <v>2018</v>
      </c>
      <c r="F483" s="79">
        <f t="shared" si="48"/>
        <v>240</v>
      </c>
      <c r="G483" s="14"/>
      <c r="H483" s="14"/>
      <c r="I483" s="14">
        <v>240</v>
      </c>
      <c r="J483" s="14"/>
      <c r="K483" s="204"/>
      <c r="L483" s="123"/>
    </row>
    <row r="484" spans="1:12" x14ac:dyDescent="0.2">
      <c r="A484" s="317"/>
      <c r="B484" s="200"/>
      <c r="C484" s="203"/>
      <c r="D484" s="198"/>
      <c r="E484" s="191">
        <v>2019</v>
      </c>
      <c r="F484" s="79">
        <f t="shared" si="48"/>
        <v>260</v>
      </c>
      <c r="G484" s="14"/>
      <c r="H484" s="14"/>
      <c r="I484" s="14">
        <v>260</v>
      </c>
      <c r="J484" s="14"/>
      <c r="K484" s="204"/>
      <c r="L484" s="123"/>
    </row>
    <row r="485" spans="1:12" x14ac:dyDescent="0.2">
      <c r="A485" s="317"/>
      <c r="B485" s="200"/>
      <c r="C485" s="203"/>
      <c r="D485" s="198"/>
      <c r="E485" s="191">
        <v>2020</v>
      </c>
      <c r="F485" s="79">
        <f t="shared" si="48"/>
        <v>270</v>
      </c>
      <c r="G485" s="14"/>
      <c r="H485" s="14"/>
      <c r="I485" s="14">
        <v>270</v>
      </c>
      <c r="J485" s="14"/>
      <c r="K485" s="204"/>
    </row>
    <row r="486" spans="1:12" ht="32.25" customHeight="1" x14ac:dyDescent="0.2">
      <c r="A486" s="317"/>
      <c r="B486" s="239"/>
      <c r="C486" s="203"/>
      <c r="D486" s="199"/>
      <c r="E486" s="24" t="s">
        <v>18</v>
      </c>
      <c r="F486" s="99">
        <f>SUM(F480:F485)</f>
        <v>1100</v>
      </c>
      <c r="G486" s="13"/>
      <c r="H486" s="13"/>
      <c r="I486" s="13">
        <f>SUM(I480:I485)</f>
        <v>1100</v>
      </c>
      <c r="J486" s="14"/>
      <c r="K486" s="204"/>
    </row>
    <row r="487" spans="1:12" x14ac:dyDescent="0.2">
      <c r="A487" s="316" t="s">
        <v>81</v>
      </c>
      <c r="B487" s="200" t="s">
        <v>168</v>
      </c>
      <c r="C487" s="229" t="s">
        <v>68</v>
      </c>
      <c r="D487" s="197" t="s">
        <v>218</v>
      </c>
      <c r="E487" s="191">
        <v>2015</v>
      </c>
      <c r="F487" s="79">
        <f t="shared" ref="F487:F492" si="49">SUM(G487:I487)</f>
        <v>55</v>
      </c>
      <c r="G487" s="14"/>
      <c r="H487" s="14"/>
      <c r="I487" s="14">
        <v>55</v>
      </c>
      <c r="J487" s="14"/>
      <c r="K487" s="204"/>
    </row>
    <row r="488" spans="1:12" x14ac:dyDescent="0.2">
      <c r="A488" s="317"/>
      <c r="B488" s="200"/>
      <c r="C488" s="198"/>
      <c r="D488" s="198"/>
      <c r="E488" s="191">
        <v>2016</v>
      </c>
      <c r="F488" s="79">
        <f t="shared" si="49"/>
        <v>57.4</v>
      </c>
      <c r="G488" s="14"/>
      <c r="H488" s="14"/>
      <c r="I488" s="14">
        <f>60-2.6</f>
        <v>57.4</v>
      </c>
      <c r="J488" s="14"/>
      <c r="K488" s="204"/>
      <c r="L488" s="123"/>
    </row>
    <row r="489" spans="1:12" x14ac:dyDescent="0.2">
      <c r="A489" s="317"/>
      <c r="B489" s="200"/>
      <c r="C489" s="198"/>
      <c r="D489" s="198"/>
      <c r="E489" s="191">
        <v>2017</v>
      </c>
      <c r="F489" s="79">
        <f t="shared" si="49"/>
        <v>65</v>
      </c>
      <c r="G489" s="14"/>
      <c r="H489" s="14"/>
      <c r="I489" s="14">
        <v>65</v>
      </c>
      <c r="J489" s="14"/>
      <c r="K489" s="204"/>
      <c r="L489" s="123"/>
    </row>
    <row r="490" spans="1:12" x14ac:dyDescent="0.2">
      <c r="A490" s="317"/>
      <c r="B490" s="200"/>
      <c r="C490" s="198"/>
      <c r="D490" s="198"/>
      <c r="E490" s="191">
        <v>2018</v>
      </c>
      <c r="F490" s="79">
        <f t="shared" si="49"/>
        <v>70</v>
      </c>
      <c r="G490" s="14"/>
      <c r="H490" s="14"/>
      <c r="I490" s="14">
        <v>70</v>
      </c>
      <c r="J490" s="14"/>
      <c r="K490" s="204"/>
      <c r="L490" s="123"/>
    </row>
    <row r="491" spans="1:12" x14ac:dyDescent="0.2">
      <c r="A491" s="317"/>
      <c r="B491" s="200"/>
      <c r="C491" s="198"/>
      <c r="D491" s="198"/>
      <c r="E491" s="191">
        <v>2019</v>
      </c>
      <c r="F491" s="79">
        <f t="shared" si="49"/>
        <v>75</v>
      </c>
      <c r="G491" s="14"/>
      <c r="H491" s="14"/>
      <c r="I491" s="14">
        <v>75</v>
      </c>
      <c r="J491" s="14"/>
      <c r="K491" s="204"/>
      <c r="L491" s="123"/>
    </row>
    <row r="492" spans="1:12" x14ac:dyDescent="0.2">
      <c r="A492" s="317"/>
      <c r="B492" s="200"/>
      <c r="C492" s="198"/>
      <c r="D492" s="198"/>
      <c r="E492" s="191">
        <v>2020</v>
      </c>
      <c r="F492" s="79">
        <f t="shared" si="49"/>
        <v>80</v>
      </c>
      <c r="G492" s="14"/>
      <c r="H492" s="14"/>
      <c r="I492" s="14">
        <v>80</v>
      </c>
      <c r="J492" s="14"/>
      <c r="K492" s="204"/>
    </row>
    <row r="493" spans="1:12" x14ac:dyDescent="0.2">
      <c r="A493" s="317"/>
      <c r="B493" s="226"/>
      <c r="C493" s="198"/>
      <c r="D493" s="199"/>
      <c r="E493" s="24" t="s">
        <v>18</v>
      </c>
      <c r="F493" s="21">
        <f>SUM(F487:F492)</f>
        <v>402.4</v>
      </c>
      <c r="G493" s="13"/>
      <c r="H493" s="13"/>
      <c r="I493" s="13">
        <f>SUM(I487:I492)</f>
        <v>402.4</v>
      </c>
      <c r="J493" s="14"/>
      <c r="K493" s="205"/>
    </row>
    <row r="494" spans="1:12" x14ac:dyDescent="0.2">
      <c r="A494" s="316" t="s">
        <v>82</v>
      </c>
      <c r="B494" s="200" t="s">
        <v>83</v>
      </c>
      <c r="C494" s="202" t="s">
        <v>68</v>
      </c>
      <c r="D494" s="197" t="s">
        <v>218</v>
      </c>
      <c r="E494" s="191">
        <v>2015</v>
      </c>
      <c r="F494" s="79">
        <f t="shared" ref="F494:F499" si="50">SUM(G494:I494)</f>
        <v>50</v>
      </c>
      <c r="G494" s="14"/>
      <c r="H494" s="14"/>
      <c r="I494" s="14">
        <v>50</v>
      </c>
      <c r="J494" s="14"/>
      <c r="K494" s="197" t="s">
        <v>170</v>
      </c>
    </row>
    <row r="495" spans="1:12" x14ac:dyDescent="0.2">
      <c r="A495" s="317"/>
      <c r="B495" s="201"/>
      <c r="C495" s="203"/>
      <c r="D495" s="198"/>
      <c r="E495" s="191">
        <v>2016</v>
      </c>
      <c r="F495" s="79">
        <f t="shared" si="50"/>
        <v>32</v>
      </c>
      <c r="G495" s="14"/>
      <c r="H495" s="14"/>
      <c r="I495" s="14">
        <f>55-23</f>
        <v>32</v>
      </c>
      <c r="J495" s="14"/>
      <c r="K495" s="204"/>
      <c r="L495" s="123"/>
    </row>
    <row r="496" spans="1:12" x14ac:dyDescent="0.2">
      <c r="A496" s="317"/>
      <c r="B496" s="201"/>
      <c r="C496" s="203"/>
      <c r="D496" s="198"/>
      <c r="E496" s="191">
        <v>2017</v>
      </c>
      <c r="F496" s="79">
        <f t="shared" si="50"/>
        <v>41.4</v>
      </c>
      <c r="G496" s="14"/>
      <c r="H496" s="14"/>
      <c r="I496" s="14">
        <v>41.4</v>
      </c>
      <c r="J496" s="14"/>
      <c r="K496" s="204"/>
      <c r="L496" s="123"/>
    </row>
    <row r="497" spans="1:13" x14ac:dyDescent="0.2">
      <c r="A497" s="317"/>
      <c r="B497" s="201"/>
      <c r="C497" s="203"/>
      <c r="D497" s="198"/>
      <c r="E497" s="191">
        <v>2018</v>
      </c>
      <c r="F497" s="79">
        <f t="shared" si="50"/>
        <v>65</v>
      </c>
      <c r="G497" s="14"/>
      <c r="H497" s="14"/>
      <c r="I497" s="14">
        <v>65</v>
      </c>
      <c r="J497" s="14"/>
      <c r="K497" s="204"/>
      <c r="L497" s="123"/>
    </row>
    <row r="498" spans="1:13" x14ac:dyDescent="0.2">
      <c r="A498" s="317"/>
      <c r="B498" s="201"/>
      <c r="C498" s="203"/>
      <c r="D498" s="198"/>
      <c r="E498" s="191">
        <v>2019</v>
      </c>
      <c r="F498" s="79">
        <f t="shared" si="50"/>
        <v>70</v>
      </c>
      <c r="G498" s="14"/>
      <c r="H498" s="14"/>
      <c r="I498" s="14">
        <v>70</v>
      </c>
      <c r="J498" s="14"/>
      <c r="K498" s="204"/>
      <c r="L498" s="123"/>
    </row>
    <row r="499" spans="1:13" x14ac:dyDescent="0.2">
      <c r="A499" s="317"/>
      <c r="B499" s="201"/>
      <c r="C499" s="203"/>
      <c r="D499" s="198"/>
      <c r="E499" s="191">
        <v>2020</v>
      </c>
      <c r="F499" s="79">
        <f t="shared" si="50"/>
        <v>75</v>
      </c>
      <c r="G499" s="14"/>
      <c r="H499" s="14"/>
      <c r="I499" s="14">
        <v>75</v>
      </c>
      <c r="J499" s="14"/>
      <c r="K499" s="204"/>
    </row>
    <row r="500" spans="1:13" x14ac:dyDescent="0.2">
      <c r="A500" s="317"/>
      <c r="B500" s="201"/>
      <c r="C500" s="203"/>
      <c r="D500" s="199"/>
      <c r="E500" s="24" t="s">
        <v>18</v>
      </c>
      <c r="F500" s="21">
        <f>SUM(F494:F499)</f>
        <v>333.4</v>
      </c>
      <c r="G500" s="14"/>
      <c r="H500" s="14"/>
      <c r="I500" s="13">
        <f>SUM(I494:I499)</f>
        <v>333.4</v>
      </c>
      <c r="J500" s="14"/>
      <c r="K500" s="205"/>
    </row>
    <row r="501" spans="1:13" ht="16.5" customHeight="1" thickBot="1" x14ac:dyDescent="0.25">
      <c r="A501" s="309" t="s">
        <v>197</v>
      </c>
      <c r="B501" s="310"/>
      <c r="C501" s="311"/>
      <c r="D501" s="310"/>
      <c r="E501" s="6" t="s">
        <v>61</v>
      </c>
      <c r="F501" s="17">
        <f>F479+F486+F493+F500</f>
        <v>2308.8000000000002</v>
      </c>
      <c r="G501" s="17">
        <f>G479+G486+G493+G500</f>
        <v>0</v>
      </c>
      <c r="H501" s="17">
        <f>H479+H486+H493+H500</f>
        <v>0</v>
      </c>
      <c r="I501" s="17">
        <f>I479+I486+I493+I500</f>
        <v>2308.8000000000002</v>
      </c>
      <c r="J501" s="19"/>
      <c r="K501" s="6"/>
      <c r="L501" s="151"/>
      <c r="M501" s="152"/>
    </row>
    <row r="502" spans="1:13" ht="15" thickBot="1" x14ac:dyDescent="0.25">
      <c r="A502" s="306" t="s">
        <v>198</v>
      </c>
      <c r="B502" s="307"/>
      <c r="C502" s="307"/>
      <c r="D502" s="307"/>
      <c r="E502" s="307"/>
      <c r="F502" s="307"/>
      <c r="G502" s="307"/>
      <c r="H502" s="307"/>
      <c r="I502" s="307"/>
      <c r="J502" s="307"/>
      <c r="K502" s="308"/>
    </row>
    <row r="503" spans="1:13" ht="14.25" x14ac:dyDescent="0.2">
      <c r="A503" s="312" t="s">
        <v>84</v>
      </c>
      <c r="B503" s="313"/>
      <c r="C503" s="313"/>
      <c r="D503" s="313"/>
      <c r="E503" s="314"/>
      <c r="F503" s="314"/>
      <c r="G503" s="314"/>
      <c r="H503" s="314"/>
      <c r="I503" s="314"/>
      <c r="J503" s="314"/>
      <c r="K503" s="315"/>
    </row>
    <row r="504" spans="1:13" ht="12.75" customHeight="1" x14ac:dyDescent="0.2">
      <c r="A504" s="318" t="s">
        <v>99</v>
      </c>
      <c r="B504" s="244" t="s">
        <v>85</v>
      </c>
      <c r="C504" s="228" t="s">
        <v>68</v>
      </c>
      <c r="D504" s="197" t="s">
        <v>218</v>
      </c>
      <c r="E504" s="191">
        <v>2015</v>
      </c>
      <c r="F504" s="79">
        <f t="shared" ref="F504:F509" si="51">SUM(G504:I504)</f>
        <v>3623.3</v>
      </c>
      <c r="G504" s="14"/>
      <c r="H504" s="14">
        <f>3817-230</f>
        <v>3587</v>
      </c>
      <c r="I504" s="14">
        <f>38.6-2.3</f>
        <v>36.300000000000004</v>
      </c>
      <c r="J504" s="14"/>
      <c r="K504" s="197" t="s">
        <v>171</v>
      </c>
    </row>
    <row r="505" spans="1:13" x14ac:dyDescent="0.2">
      <c r="A505" s="319"/>
      <c r="B505" s="321"/>
      <c r="C505" s="198"/>
      <c r="D505" s="198"/>
      <c r="E505" s="191">
        <v>2016</v>
      </c>
      <c r="F505" s="79">
        <f t="shared" si="51"/>
        <v>27.8</v>
      </c>
      <c r="G505" s="14"/>
      <c r="H505" s="14">
        <v>0</v>
      </c>
      <c r="I505" s="14">
        <v>27.8</v>
      </c>
      <c r="J505" s="14"/>
      <c r="K505" s="204"/>
    </row>
    <row r="506" spans="1:13" x14ac:dyDescent="0.2">
      <c r="A506" s="319"/>
      <c r="B506" s="321"/>
      <c r="C506" s="198"/>
      <c r="D506" s="198"/>
      <c r="E506" s="191">
        <v>2017</v>
      </c>
      <c r="F506" s="79">
        <f t="shared" si="51"/>
        <v>0</v>
      </c>
      <c r="G506" s="14"/>
      <c r="H506" s="14">
        <v>0</v>
      </c>
      <c r="I506" s="14">
        <v>0</v>
      </c>
      <c r="J506" s="14"/>
      <c r="K506" s="204"/>
      <c r="L506" s="123"/>
    </row>
    <row r="507" spans="1:13" x14ac:dyDescent="0.2">
      <c r="A507" s="319"/>
      <c r="B507" s="321"/>
      <c r="C507" s="198"/>
      <c r="D507" s="198"/>
      <c r="E507" s="191">
        <v>2018</v>
      </c>
      <c r="F507" s="79">
        <f t="shared" si="51"/>
        <v>16.2</v>
      </c>
      <c r="G507" s="14"/>
      <c r="H507" s="14">
        <f>1605-1605</f>
        <v>0</v>
      </c>
      <c r="I507" s="14">
        <v>16.2</v>
      </c>
      <c r="J507" s="14"/>
      <c r="K507" s="204"/>
      <c r="L507" s="123"/>
    </row>
    <row r="508" spans="1:13" x14ac:dyDescent="0.2">
      <c r="A508" s="319"/>
      <c r="B508" s="321"/>
      <c r="C508" s="198"/>
      <c r="D508" s="198"/>
      <c r="E508" s="191">
        <v>2019</v>
      </c>
      <c r="F508" s="79">
        <f t="shared" si="51"/>
        <v>14.8</v>
      </c>
      <c r="G508" s="14"/>
      <c r="H508" s="14">
        <f>1469-1469</f>
        <v>0</v>
      </c>
      <c r="I508" s="14">
        <v>14.8</v>
      </c>
      <c r="J508" s="14"/>
      <c r="K508" s="204"/>
      <c r="L508" s="123"/>
    </row>
    <row r="509" spans="1:13" x14ac:dyDescent="0.2">
      <c r="A509" s="319"/>
      <c r="B509" s="321"/>
      <c r="C509" s="198"/>
      <c r="D509" s="198"/>
      <c r="E509" s="191">
        <v>2020</v>
      </c>
      <c r="F509" s="79">
        <f t="shared" si="51"/>
        <v>1613.1</v>
      </c>
      <c r="G509" s="14"/>
      <c r="H509" s="14">
        <v>1597</v>
      </c>
      <c r="I509" s="14">
        <v>16.100000000000001</v>
      </c>
      <c r="J509" s="14"/>
      <c r="K509" s="204"/>
    </row>
    <row r="510" spans="1:13" ht="13.5" thickBot="1" x14ac:dyDescent="0.25">
      <c r="A510" s="320"/>
      <c r="B510" s="321"/>
      <c r="C510" s="322"/>
      <c r="D510" s="199"/>
      <c r="E510" s="24" t="s">
        <v>18</v>
      </c>
      <c r="F510" s="21">
        <f>SUM(F504:F509)</f>
        <v>5295.2000000000007</v>
      </c>
      <c r="G510" s="13"/>
      <c r="H510" s="13">
        <f>SUM(H504:H509)</f>
        <v>5184</v>
      </c>
      <c r="I510" s="13">
        <f>SUM(I504:I509)</f>
        <v>111.20000000000002</v>
      </c>
      <c r="J510" s="14"/>
      <c r="K510" s="205"/>
    </row>
    <row r="511" spans="1:13" ht="15.75" customHeight="1" thickBot="1" x14ac:dyDescent="0.25">
      <c r="A511" s="309" t="s">
        <v>199</v>
      </c>
      <c r="B511" s="310"/>
      <c r="C511" s="310"/>
      <c r="D511" s="310"/>
      <c r="E511" s="161" t="s">
        <v>61</v>
      </c>
      <c r="F511" s="99">
        <f>SUM(F504:F509)</f>
        <v>5295.2000000000007</v>
      </c>
      <c r="G511" s="19"/>
      <c r="H511" s="13">
        <f>SUM(H504:H509)</f>
        <v>5184</v>
      </c>
      <c r="I511" s="13">
        <f>SUM(I504:I509)</f>
        <v>111.20000000000002</v>
      </c>
      <c r="J511" s="19"/>
      <c r="K511" s="6"/>
      <c r="L511" s="152"/>
      <c r="M511" s="152"/>
    </row>
    <row r="512" spans="1:13" ht="15" thickBot="1" x14ac:dyDescent="0.25">
      <c r="A512" s="306" t="s">
        <v>317</v>
      </c>
      <c r="B512" s="307"/>
      <c r="C512" s="307"/>
      <c r="D512" s="307"/>
      <c r="E512" s="307"/>
      <c r="F512" s="307"/>
      <c r="G512" s="307"/>
      <c r="H512" s="307"/>
      <c r="I512" s="307"/>
      <c r="J512" s="307"/>
      <c r="K512" s="308"/>
    </row>
    <row r="513" spans="1:35" ht="12.75" customHeight="1" x14ac:dyDescent="0.2">
      <c r="A513" s="318" t="s">
        <v>156</v>
      </c>
      <c r="B513" s="244" t="s">
        <v>319</v>
      </c>
      <c r="C513" s="228" t="s">
        <v>318</v>
      </c>
      <c r="D513" s="197" t="s">
        <v>320</v>
      </c>
      <c r="E513" s="191">
        <v>2017</v>
      </c>
      <c r="F513" s="79">
        <f t="shared" ref="F513:F516" si="52">SUM(G513:I513)</f>
        <v>112768.40000000001</v>
      </c>
      <c r="G513" s="14"/>
      <c r="H513" s="14">
        <f>117683.6-4915.2</f>
        <v>112768.40000000001</v>
      </c>
      <c r="I513" s="14">
        <v>0</v>
      </c>
      <c r="J513" s="14"/>
      <c r="K513" s="247" t="s">
        <v>399</v>
      </c>
      <c r="L513" s="123" t="s">
        <v>354</v>
      </c>
    </row>
    <row r="514" spans="1:35" x14ac:dyDescent="0.2">
      <c r="A514" s="319"/>
      <c r="B514" s="321"/>
      <c r="C514" s="198"/>
      <c r="D514" s="198"/>
      <c r="E514" s="191">
        <v>2018</v>
      </c>
      <c r="F514" s="79">
        <f t="shared" si="52"/>
        <v>0</v>
      </c>
      <c r="G514" s="14"/>
      <c r="H514" s="14">
        <v>0</v>
      </c>
      <c r="I514" s="14">
        <v>0</v>
      </c>
      <c r="J514" s="14"/>
      <c r="K514" s="385"/>
    </row>
    <row r="515" spans="1:35" x14ac:dyDescent="0.2">
      <c r="A515" s="319"/>
      <c r="B515" s="321"/>
      <c r="C515" s="198"/>
      <c r="D515" s="198"/>
      <c r="E515" s="191">
        <v>2019</v>
      </c>
      <c r="F515" s="79">
        <f t="shared" si="52"/>
        <v>0</v>
      </c>
      <c r="G515" s="14"/>
      <c r="H515" s="14">
        <f>2740-2740</f>
        <v>0</v>
      </c>
      <c r="I515" s="14">
        <f>27.6-27.6</f>
        <v>0</v>
      </c>
      <c r="J515" s="14"/>
      <c r="K515" s="385"/>
      <c r="L515" s="123"/>
    </row>
    <row r="516" spans="1:35" x14ac:dyDescent="0.2">
      <c r="A516" s="319"/>
      <c r="B516" s="321"/>
      <c r="C516" s="198"/>
      <c r="D516" s="198"/>
      <c r="E516" s="191">
        <v>2020</v>
      </c>
      <c r="F516" s="79">
        <f t="shared" si="52"/>
        <v>0</v>
      </c>
      <c r="G516" s="14"/>
      <c r="H516" s="14">
        <v>0</v>
      </c>
      <c r="I516" s="14">
        <v>0</v>
      </c>
      <c r="J516" s="14"/>
      <c r="K516" s="385"/>
    </row>
    <row r="517" spans="1:35" ht="13.5" thickBot="1" x14ac:dyDescent="0.25">
      <c r="A517" s="320"/>
      <c r="B517" s="321"/>
      <c r="C517" s="322"/>
      <c r="D517" s="199"/>
      <c r="E517" s="24" t="s">
        <v>18</v>
      </c>
      <c r="F517" s="21">
        <f>SUM(F513:F516)</f>
        <v>112768.40000000001</v>
      </c>
      <c r="G517" s="13"/>
      <c r="H517" s="13">
        <f>SUM(H513:H516)</f>
        <v>112768.40000000001</v>
      </c>
      <c r="I517" s="13">
        <f>SUM(I513:I516)</f>
        <v>0</v>
      </c>
      <c r="J517" s="14"/>
      <c r="K517" s="386"/>
    </row>
    <row r="518" spans="1:35" ht="16.5" customHeight="1" thickBot="1" x14ac:dyDescent="0.25">
      <c r="A518" s="309" t="s">
        <v>221</v>
      </c>
      <c r="B518" s="310"/>
      <c r="C518" s="310"/>
      <c r="D518" s="310"/>
      <c r="E518" s="6" t="s">
        <v>313</v>
      </c>
      <c r="F518" s="99">
        <f>SUM(F513:F516)</f>
        <v>112768.40000000001</v>
      </c>
      <c r="G518" s="19"/>
      <c r="H518" s="13">
        <f>SUM(H513:H516)</f>
        <v>112768.40000000001</v>
      </c>
      <c r="I518" s="13">
        <f>SUM(I513:I516)</f>
        <v>0</v>
      </c>
      <c r="J518" s="19"/>
      <c r="K518" s="6"/>
      <c r="L518" s="151"/>
      <c r="M518" s="152"/>
    </row>
    <row r="519" spans="1:35" ht="47.25" x14ac:dyDescent="0.25">
      <c r="A519" s="363" t="s">
        <v>201</v>
      </c>
      <c r="B519" s="293"/>
      <c r="C519" s="293"/>
      <c r="D519" s="294"/>
      <c r="E519" s="98" t="s">
        <v>61</v>
      </c>
      <c r="F519" s="98" t="s">
        <v>18</v>
      </c>
      <c r="G519" s="100" t="s">
        <v>10</v>
      </c>
      <c r="H519" s="101" t="s">
        <v>11</v>
      </c>
      <c r="I519" s="101" t="s">
        <v>12</v>
      </c>
      <c r="J519" s="101" t="s">
        <v>13</v>
      </c>
      <c r="K519" s="58"/>
      <c r="L519" s="156"/>
      <c r="M519" s="157"/>
      <c r="N519" s="75"/>
    </row>
    <row r="520" spans="1:35" ht="15.75" x14ac:dyDescent="0.25">
      <c r="A520" s="192"/>
      <c r="B520" s="193"/>
      <c r="C520" s="193"/>
      <c r="D520" s="194"/>
      <c r="E520" s="104"/>
      <c r="F520" s="171">
        <f>SUM(G520:J520)</f>
        <v>440006.2</v>
      </c>
      <c r="G520" s="23"/>
      <c r="H520" s="11">
        <f>H511+H501+H470+H445+H398+H518</f>
        <v>118182.40000000001</v>
      </c>
      <c r="I520" s="11">
        <f t="shared" ref="I520:J520" si="53">I511+I501+I470+I445+I398+I518</f>
        <v>318608.8</v>
      </c>
      <c r="J520" s="11">
        <f t="shared" si="53"/>
        <v>3215</v>
      </c>
      <c r="K520" s="58"/>
      <c r="L520" s="42"/>
      <c r="M520" s="42"/>
      <c r="N520" s="42"/>
    </row>
    <row r="521" spans="1:35" ht="18.75" customHeight="1" thickBot="1" x14ac:dyDescent="0.25">
      <c r="A521" s="382" t="s">
        <v>202</v>
      </c>
      <c r="B521" s="383"/>
      <c r="C521" s="383"/>
      <c r="D521" s="383"/>
      <c r="E521" s="383"/>
      <c r="F521" s="383"/>
      <c r="G521" s="383"/>
      <c r="H521" s="383"/>
      <c r="I521" s="383"/>
      <c r="J521" s="383"/>
      <c r="K521" s="384"/>
      <c r="L521" s="76"/>
      <c r="M521" s="76"/>
      <c r="N521" s="76"/>
    </row>
    <row r="522" spans="1:35" ht="30" customHeight="1" x14ac:dyDescent="0.2">
      <c r="A522" s="237" t="s">
        <v>203</v>
      </c>
      <c r="B522" s="239"/>
      <c r="C522" s="239"/>
      <c r="D522" s="239"/>
      <c r="E522" s="201"/>
      <c r="F522" s="201"/>
      <c r="G522" s="201"/>
      <c r="H522" s="201"/>
      <c r="I522" s="201"/>
      <c r="J522" s="201"/>
      <c r="K522" s="201"/>
      <c r="L522" s="77"/>
      <c r="M522" s="77"/>
      <c r="N522" s="77"/>
      <c r="O522" s="77"/>
      <c r="P522" s="77"/>
      <c r="Q522" s="77"/>
      <c r="R522" s="77"/>
      <c r="S522" s="77"/>
      <c r="T522" s="77"/>
      <c r="U522" s="77"/>
      <c r="V522" s="77"/>
      <c r="W522" s="77"/>
      <c r="X522" s="77"/>
      <c r="Y522" s="77"/>
      <c r="Z522" s="77"/>
      <c r="AA522" s="77"/>
      <c r="AB522" s="77"/>
      <c r="AC522" s="77"/>
      <c r="AD522" s="77"/>
      <c r="AE522" s="77"/>
      <c r="AF522" s="77"/>
      <c r="AG522" s="77"/>
      <c r="AH522" s="77"/>
      <c r="AI522" s="78"/>
    </row>
    <row r="523" spans="1:35" x14ac:dyDescent="0.2">
      <c r="A523" s="206" t="s">
        <v>103</v>
      </c>
      <c r="B523" s="324" t="s">
        <v>86</v>
      </c>
      <c r="C523" s="228" t="s">
        <v>68</v>
      </c>
      <c r="D523" s="197" t="s">
        <v>218</v>
      </c>
      <c r="E523" s="191">
        <v>2015</v>
      </c>
      <c r="F523" s="79">
        <f t="shared" ref="F523:F528" si="54">SUM(G523:J523)</f>
        <v>1923.3999999999999</v>
      </c>
      <c r="G523" s="14"/>
      <c r="H523" s="14">
        <f>2020.6-97.2</f>
        <v>1923.3999999999999</v>
      </c>
      <c r="I523" s="14"/>
      <c r="J523" s="14"/>
      <c r="K523" s="197" t="s">
        <v>172</v>
      </c>
    </row>
    <row r="524" spans="1:35" x14ac:dyDescent="0.2">
      <c r="A524" s="207"/>
      <c r="B524" s="284"/>
      <c r="C524" s="198"/>
      <c r="D524" s="198"/>
      <c r="E524" s="191">
        <v>2016</v>
      </c>
      <c r="F524" s="79">
        <f t="shared" si="54"/>
        <v>2072.6</v>
      </c>
      <c r="G524" s="14"/>
      <c r="H524" s="14">
        <f>2072.6</f>
        <v>2072.6</v>
      </c>
      <c r="I524" s="14"/>
      <c r="J524" s="14"/>
      <c r="K524" s="204"/>
      <c r="L524" s="123"/>
    </row>
    <row r="525" spans="1:35" x14ac:dyDescent="0.2">
      <c r="A525" s="207"/>
      <c r="B525" s="284"/>
      <c r="C525" s="198"/>
      <c r="D525" s="198"/>
      <c r="E525" s="191">
        <v>2017</v>
      </c>
      <c r="F525" s="79">
        <f t="shared" si="54"/>
        <v>1468.9</v>
      </c>
      <c r="G525" s="14"/>
      <c r="H525" s="14">
        <f>1919.7-116.3-334.5</f>
        <v>1468.9</v>
      </c>
      <c r="I525" s="14"/>
      <c r="J525" s="14"/>
      <c r="K525" s="204"/>
      <c r="L525" s="123" t="s">
        <v>349</v>
      </c>
      <c r="M525" s="130"/>
    </row>
    <row r="526" spans="1:35" x14ac:dyDescent="0.2">
      <c r="A526" s="207"/>
      <c r="B526" s="284"/>
      <c r="C526" s="198"/>
      <c r="D526" s="198"/>
      <c r="E526" s="191">
        <v>2018</v>
      </c>
      <c r="F526" s="79">
        <f t="shared" si="54"/>
        <v>1996.4</v>
      </c>
      <c r="G526" s="14"/>
      <c r="H526" s="14">
        <f>2121.8-125.4</f>
        <v>1996.4</v>
      </c>
      <c r="I526" s="14"/>
      <c r="J526" s="14"/>
      <c r="K526" s="204"/>
      <c r="L526" s="123"/>
      <c r="M526" s="130"/>
    </row>
    <row r="527" spans="1:35" x14ac:dyDescent="0.2">
      <c r="A527" s="207"/>
      <c r="B527" s="284"/>
      <c r="C527" s="198"/>
      <c r="D527" s="198"/>
      <c r="E527" s="191">
        <v>2019</v>
      </c>
      <c r="F527" s="79">
        <f t="shared" si="54"/>
        <v>2076.3000000000002</v>
      </c>
      <c r="G527" s="14"/>
      <c r="H527" s="14">
        <f>2238.5-162.2</f>
        <v>2076.3000000000002</v>
      </c>
      <c r="I527" s="14"/>
      <c r="J527" s="14"/>
      <c r="K527" s="204"/>
      <c r="L527" s="123"/>
      <c r="M527" s="130"/>
    </row>
    <row r="528" spans="1:35" x14ac:dyDescent="0.2">
      <c r="A528" s="207"/>
      <c r="B528" s="284"/>
      <c r="C528" s="198"/>
      <c r="D528" s="198"/>
      <c r="E528" s="191">
        <v>2020</v>
      </c>
      <c r="F528" s="79">
        <f t="shared" si="54"/>
        <v>2350.4</v>
      </c>
      <c r="G528" s="14"/>
      <c r="H528" s="14">
        <v>2350.4</v>
      </c>
      <c r="I528" s="14"/>
      <c r="J528" s="14"/>
      <c r="K528" s="204"/>
    </row>
    <row r="529" spans="1:13" ht="18.75" customHeight="1" x14ac:dyDescent="0.2">
      <c r="A529" s="207"/>
      <c r="B529" s="284"/>
      <c r="C529" s="199"/>
      <c r="D529" s="199"/>
      <c r="E529" s="24" t="s">
        <v>18</v>
      </c>
      <c r="F529" s="99">
        <f>SUM(F523:F528)</f>
        <v>11887.999999999998</v>
      </c>
      <c r="G529" s="13"/>
      <c r="H529" s="13">
        <f>SUM(H523:H528)</f>
        <v>11887.999999999998</v>
      </c>
      <c r="I529" s="14"/>
      <c r="J529" s="14"/>
      <c r="K529" s="204"/>
    </row>
    <row r="530" spans="1:13" x14ac:dyDescent="0.2">
      <c r="A530" s="206" t="s">
        <v>105</v>
      </c>
      <c r="B530" s="244" t="s">
        <v>87</v>
      </c>
      <c r="C530" s="228" t="s">
        <v>68</v>
      </c>
      <c r="D530" s="197" t="s">
        <v>218</v>
      </c>
      <c r="E530" s="191">
        <v>2015</v>
      </c>
      <c r="F530" s="79">
        <f t="shared" ref="F530:F535" si="55">SUM(G530:J530)</f>
        <v>759.90000000000009</v>
      </c>
      <c r="G530" s="14"/>
      <c r="H530" s="14">
        <f>783-27.3+4.2</f>
        <v>759.90000000000009</v>
      </c>
      <c r="I530" s="14"/>
      <c r="J530" s="14"/>
      <c r="K530" s="204"/>
    </row>
    <row r="531" spans="1:13" x14ac:dyDescent="0.2">
      <c r="A531" s="207"/>
      <c r="B531" s="323"/>
      <c r="C531" s="198"/>
      <c r="D531" s="198"/>
      <c r="E531" s="191">
        <v>2016</v>
      </c>
      <c r="F531" s="79">
        <f t="shared" si="55"/>
        <v>753.4</v>
      </c>
      <c r="G531" s="14"/>
      <c r="H531" s="14">
        <f>753.4</f>
        <v>753.4</v>
      </c>
      <c r="I531" s="14"/>
      <c r="J531" s="14"/>
      <c r="K531" s="204"/>
      <c r="L531" s="123"/>
    </row>
    <row r="532" spans="1:13" x14ac:dyDescent="0.2">
      <c r="A532" s="207"/>
      <c r="B532" s="323"/>
      <c r="C532" s="198"/>
      <c r="D532" s="198"/>
      <c r="E532" s="191">
        <v>2017</v>
      </c>
      <c r="F532" s="79">
        <f t="shared" si="55"/>
        <v>425.09999999999997</v>
      </c>
      <c r="G532" s="14"/>
      <c r="H532" s="14">
        <f>671.9-162.8-84</f>
        <v>425.09999999999997</v>
      </c>
      <c r="I532" s="14"/>
      <c r="J532" s="14"/>
      <c r="K532" s="204"/>
      <c r="L532" s="143" t="s">
        <v>350</v>
      </c>
      <c r="M532" s="130"/>
    </row>
    <row r="533" spans="1:13" x14ac:dyDescent="0.2">
      <c r="A533" s="207"/>
      <c r="B533" s="323"/>
      <c r="C533" s="198"/>
      <c r="D533" s="198"/>
      <c r="E533" s="191">
        <v>2018</v>
      </c>
      <c r="F533" s="79">
        <f t="shared" si="55"/>
        <v>698.80000000000007</v>
      </c>
      <c r="G533" s="14"/>
      <c r="H533" s="14">
        <f>737.6-38.8</f>
        <v>698.80000000000007</v>
      </c>
      <c r="I533" s="14"/>
      <c r="J533" s="14"/>
      <c r="K533" s="204"/>
      <c r="L533" s="123"/>
      <c r="M533" s="130"/>
    </row>
    <row r="534" spans="1:13" x14ac:dyDescent="0.2">
      <c r="A534" s="207"/>
      <c r="B534" s="323"/>
      <c r="C534" s="198"/>
      <c r="D534" s="198"/>
      <c r="E534" s="191">
        <v>2019</v>
      </c>
      <c r="F534" s="79">
        <f t="shared" si="55"/>
        <v>726.80000000000007</v>
      </c>
      <c r="G534" s="14"/>
      <c r="H534" s="14">
        <f>778.2-51.4</f>
        <v>726.80000000000007</v>
      </c>
      <c r="I534" s="14"/>
      <c r="J534" s="14"/>
      <c r="K534" s="204"/>
      <c r="L534" s="123"/>
      <c r="M534" s="130"/>
    </row>
    <row r="535" spans="1:13" x14ac:dyDescent="0.2">
      <c r="A535" s="207"/>
      <c r="B535" s="323"/>
      <c r="C535" s="198"/>
      <c r="D535" s="198"/>
      <c r="E535" s="191">
        <v>2020</v>
      </c>
      <c r="F535" s="79">
        <f t="shared" si="55"/>
        <v>817.1</v>
      </c>
      <c r="G535" s="14"/>
      <c r="H535" s="14">
        <v>817.1</v>
      </c>
      <c r="I535" s="14"/>
      <c r="J535" s="14"/>
      <c r="K535" s="204"/>
    </row>
    <row r="536" spans="1:13" x14ac:dyDescent="0.2">
      <c r="A536" s="207"/>
      <c r="B536" s="310"/>
      <c r="C536" s="198"/>
      <c r="D536" s="199"/>
      <c r="E536" s="24" t="s">
        <v>18</v>
      </c>
      <c r="F536" s="21">
        <f>SUM(F530:F535)</f>
        <v>4181.1000000000004</v>
      </c>
      <c r="G536" s="13"/>
      <c r="H536" s="13">
        <f>SUM(H530:H535)</f>
        <v>4181.1000000000004</v>
      </c>
      <c r="I536" s="13"/>
      <c r="J536" s="13"/>
      <c r="K536" s="204"/>
    </row>
    <row r="537" spans="1:13" x14ac:dyDescent="0.2">
      <c r="A537" s="206" t="s">
        <v>107</v>
      </c>
      <c r="B537" s="244" t="s">
        <v>88</v>
      </c>
      <c r="C537" s="228" t="s">
        <v>68</v>
      </c>
      <c r="D537" s="197" t="s">
        <v>218</v>
      </c>
      <c r="E537" s="191">
        <v>2015</v>
      </c>
      <c r="F537" s="79">
        <f t="shared" ref="F537:F542" si="56">SUM(G537:J537)</f>
        <v>285</v>
      </c>
      <c r="G537" s="14"/>
      <c r="H537" s="14"/>
      <c r="I537" s="14">
        <v>285</v>
      </c>
      <c r="J537" s="14"/>
      <c r="K537" s="204"/>
    </row>
    <row r="538" spans="1:13" x14ac:dyDescent="0.2">
      <c r="A538" s="207"/>
      <c r="B538" s="323"/>
      <c r="C538" s="198"/>
      <c r="D538" s="198"/>
      <c r="E538" s="191">
        <v>2016</v>
      </c>
      <c r="F538" s="79">
        <f t="shared" si="56"/>
        <v>229.59999999999997</v>
      </c>
      <c r="G538" s="14"/>
      <c r="H538" s="14"/>
      <c r="I538" s="14">
        <f>281.4-51.8</f>
        <v>229.59999999999997</v>
      </c>
      <c r="J538" s="14"/>
      <c r="K538" s="204"/>
      <c r="L538" s="123"/>
    </row>
    <row r="539" spans="1:13" x14ac:dyDescent="0.2">
      <c r="A539" s="207"/>
      <c r="B539" s="323"/>
      <c r="C539" s="198"/>
      <c r="D539" s="198"/>
      <c r="E539" s="191">
        <v>2017</v>
      </c>
      <c r="F539" s="79">
        <f t="shared" si="56"/>
        <v>225.6</v>
      </c>
      <c r="G539" s="14"/>
      <c r="H539" s="14"/>
      <c r="I539" s="14">
        <v>225.6</v>
      </c>
      <c r="J539" s="14"/>
      <c r="K539" s="204"/>
      <c r="L539" s="123"/>
    </row>
    <row r="540" spans="1:13" x14ac:dyDescent="0.2">
      <c r="A540" s="207"/>
      <c r="B540" s="323"/>
      <c r="C540" s="198"/>
      <c r="D540" s="198"/>
      <c r="E540" s="191">
        <v>2018</v>
      </c>
      <c r="F540" s="79">
        <f t="shared" si="56"/>
        <v>0</v>
      </c>
      <c r="G540" s="14"/>
      <c r="H540" s="14"/>
      <c r="I540" s="14">
        <f>272.7-272.7</f>
        <v>0</v>
      </c>
      <c r="J540" s="14"/>
      <c r="K540" s="204"/>
      <c r="L540" s="123"/>
    </row>
    <row r="541" spans="1:13" x14ac:dyDescent="0.2">
      <c r="A541" s="207"/>
      <c r="B541" s="323"/>
      <c r="C541" s="198"/>
      <c r="D541" s="198"/>
      <c r="E541" s="191">
        <v>2019</v>
      </c>
      <c r="F541" s="79">
        <f t="shared" si="56"/>
        <v>0</v>
      </c>
      <c r="G541" s="14"/>
      <c r="H541" s="14"/>
      <c r="I541" s="14">
        <f>267.5-267.5</f>
        <v>0</v>
      </c>
      <c r="J541" s="14"/>
      <c r="K541" s="204"/>
    </row>
    <row r="542" spans="1:13" x14ac:dyDescent="0.2">
      <c r="A542" s="207"/>
      <c r="B542" s="323"/>
      <c r="C542" s="198"/>
      <c r="D542" s="198"/>
      <c r="E542" s="191">
        <v>2020</v>
      </c>
      <c r="F542" s="79">
        <f t="shared" si="56"/>
        <v>261.8</v>
      </c>
      <c r="G542" s="14"/>
      <c r="H542" s="14"/>
      <c r="I542" s="14">
        <v>261.8</v>
      </c>
      <c r="J542" s="14"/>
      <c r="K542" s="204"/>
    </row>
    <row r="543" spans="1:13" ht="60.75" customHeight="1" x14ac:dyDescent="0.2">
      <c r="A543" s="207"/>
      <c r="B543" s="310"/>
      <c r="C543" s="198"/>
      <c r="D543" s="199"/>
      <c r="E543" s="24" t="s">
        <v>18</v>
      </c>
      <c r="F543" s="99">
        <f>SUM(F537:F542)</f>
        <v>1002</v>
      </c>
      <c r="G543" s="13"/>
      <c r="H543" s="13"/>
      <c r="I543" s="13">
        <f>SUM(I537:I542)</f>
        <v>1002</v>
      </c>
      <c r="J543" s="13"/>
      <c r="K543" s="204"/>
    </row>
    <row r="544" spans="1:13" ht="12.75" customHeight="1" x14ac:dyDescent="0.2">
      <c r="A544" s="206" t="s">
        <v>108</v>
      </c>
      <c r="B544" s="200" t="s">
        <v>404</v>
      </c>
      <c r="C544" s="228" t="s">
        <v>68</v>
      </c>
      <c r="D544" s="197" t="s">
        <v>406</v>
      </c>
      <c r="E544" s="191">
        <v>2015</v>
      </c>
      <c r="F544" s="79">
        <f t="shared" ref="F544:F549" si="57">SUM(G544:I544)</f>
        <v>7143.2</v>
      </c>
      <c r="G544" s="14"/>
      <c r="H544" s="14">
        <f>7797.5+70.5-920.2-88.1</f>
        <v>6859.7</v>
      </c>
      <c r="I544" s="14">
        <v>283.5</v>
      </c>
      <c r="J544" s="14"/>
      <c r="K544" s="204"/>
    </row>
    <row r="545" spans="1:35" x14ac:dyDescent="0.2">
      <c r="A545" s="207"/>
      <c r="B545" s="201"/>
      <c r="C545" s="198"/>
      <c r="D545" s="204"/>
      <c r="E545" s="191">
        <v>2016</v>
      </c>
      <c r="F545" s="79">
        <f t="shared" si="57"/>
        <v>6232.8</v>
      </c>
      <c r="G545" s="14"/>
      <c r="H545" s="14">
        <f>9160.9-998.2-2081</f>
        <v>6081.7</v>
      </c>
      <c r="I545" s="14">
        <f>296.8-145.7</f>
        <v>151.10000000000002</v>
      </c>
      <c r="J545" s="14"/>
      <c r="K545" s="204"/>
      <c r="L545" s="123"/>
      <c r="P545" s="123" t="s">
        <v>351</v>
      </c>
      <c r="S545" s="123" t="s">
        <v>353</v>
      </c>
    </row>
    <row r="546" spans="1:35" x14ac:dyDescent="0.2">
      <c r="A546" s="207"/>
      <c r="B546" s="201"/>
      <c r="C546" s="198"/>
      <c r="D546" s="204"/>
      <c r="E546" s="191">
        <v>2017</v>
      </c>
      <c r="F546" s="79">
        <f t="shared" si="57"/>
        <v>6749.2000000000007</v>
      </c>
      <c r="G546" s="14"/>
      <c r="H546" s="14">
        <f>7964.8-97.5-1311.7</f>
        <v>6555.6</v>
      </c>
      <c r="I546" s="14">
        <f>225.6-32</f>
        <v>193.6</v>
      </c>
      <c r="J546" s="14"/>
      <c r="K546" s="204"/>
      <c r="L546" s="123" t="s">
        <v>383</v>
      </c>
      <c r="M546" s="130"/>
      <c r="N546" s="130"/>
      <c r="O546" s="132">
        <f>H546-S546</f>
        <v>-1311.6999999999998</v>
      </c>
      <c r="P546" s="147">
        <f>7130.3+680.4</f>
        <v>7810.7</v>
      </c>
      <c r="Q546" s="146" t="s">
        <v>352</v>
      </c>
      <c r="R546" s="137">
        <v>56.6</v>
      </c>
      <c r="S546" s="148">
        <f>P546+R546</f>
        <v>7867.3</v>
      </c>
    </row>
    <row r="547" spans="1:35" x14ac:dyDescent="0.2">
      <c r="A547" s="207"/>
      <c r="B547" s="201"/>
      <c r="C547" s="198"/>
      <c r="D547" s="204"/>
      <c r="E547" s="191">
        <v>2018</v>
      </c>
      <c r="F547" s="79">
        <f t="shared" si="57"/>
        <v>8237.5</v>
      </c>
      <c r="G547" s="14"/>
      <c r="H547" s="14">
        <f>12080-4115.2</f>
        <v>7964.8</v>
      </c>
      <c r="I547" s="14">
        <f>61+211.7</f>
        <v>272.7</v>
      </c>
      <c r="J547" s="14"/>
      <c r="K547" s="204"/>
      <c r="L547" s="123"/>
      <c r="M547" s="130"/>
      <c r="N547" s="130"/>
    </row>
    <row r="548" spans="1:35" x14ac:dyDescent="0.2">
      <c r="A548" s="207"/>
      <c r="B548" s="201"/>
      <c r="C548" s="198"/>
      <c r="D548" s="204"/>
      <c r="E548" s="191">
        <v>2019</v>
      </c>
      <c r="F548" s="79">
        <f t="shared" si="57"/>
        <v>8232.2999999999993</v>
      </c>
      <c r="G548" s="14"/>
      <c r="H548" s="14">
        <f>12723-4758.2</f>
        <v>7964.8</v>
      </c>
      <c r="I548" s="14">
        <f>64.4+203.1</f>
        <v>267.5</v>
      </c>
      <c r="J548" s="14"/>
      <c r="K548" s="204"/>
      <c r="M548" s="130"/>
      <c r="N548" s="130"/>
    </row>
    <row r="549" spans="1:35" x14ac:dyDescent="0.2">
      <c r="A549" s="207"/>
      <c r="B549" s="201"/>
      <c r="C549" s="198"/>
      <c r="D549" s="204"/>
      <c r="E549" s="191">
        <v>2020</v>
      </c>
      <c r="F549" s="79">
        <f t="shared" si="57"/>
        <v>13426.2</v>
      </c>
      <c r="G549" s="14"/>
      <c r="H549" s="14">
        <v>13359</v>
      </c>
      <c r="I549" s="14">
        <v>67.2</v>
      </c>
      <c r="J549" s="14"/>
      <c r="K549" s="204"/>
    </row>
    <row r="550" spans="1:35" ht="35.25" customHeight="1" x14ac:dyDescent="0.2">
      <c r="A550" s="207"/>
      <c r="B550" s="201"/>
      <c r="C550" s="198"/>
      <c r="D550" s="205"/>
      <c r="E550" s="24" t="s">
        <v>18</v>
      </c>
      <c r="F550" s="99">
        <f>SUM(F544:F549)</f>
        <v>50021.2</v>
      </c>
      <c r="G550" s="13"/>
      <c r="H550" s="13">
        <f>SUM(H544:H549)</f>
        <v>48785.599999999999</v>
      </c>
      <c r="I550" s="13">
        <f>SUM(I544:I549)</f>
        <v>1235.6000000000001</v>
      </c>
      <c r="J550" s="14"/>
      <c r="K550" s="205"/>
    </row>
    <row r="551" spans="1:35" ht="18" customHeight="1" thickBot="1" x14ac:dyDescent="0.25">
      <c r="A551" s="328" t="s">
        <v>204</v>
      </c>
      <c r="B551" s="323"/>
      <c r="C551" s="323"/>
      <c r="D551" s="323"/>
      <c r="E551" s="61" t="s">
        <v>61</v>
      </c>
      <c r="F551" s="20">
        <f>F529+F536+F543+F550</f>
        <v>67092.299999999988</v>
      </c>
      <c r="G551" s="20">
        <f>G529+G536+G543+G550</f>
        <v>0</v>
      </c>
      <c r="H551" s="20">
        <f>H529+H536+H543+H550</f>
        <v>64854.7</v>
      </c>
      <c r="I551" s="20">
        <f>I529+I536+I543+I550</f>
        <v>2237.6000000000004</v>
      </c>
      <c r="J551" s="18"/>
      <c r="K551" s="61"/>
      <c r="L551" s="151"/>
      <c r="M551" s="152"/>
    </row>
    <row r="552" spans="1:35" ht="27" customHeight="1" thickBot="1" x14ac:dyDescent="0.25">
      <c r="A552" s="306" t="s">
        <v>205</v>
      </c>
      <c r="B552" s="307"/>
      <c r="C552" s="307"/>
      <c r="D552" s="307"/>
      <c r="E552" s="307"/>
      <c r="F552" s="307"/>
      <c r="G552" s="307"/>
      <c r="H552" s="307"/>
      <c r="I552" s="307"/>
      <c r="J552" s="307"/>
      <c r="K552" s="308"/>
      <c r="L552" s="70"/>
      <c r="M552" s="70"/>
      <c r="N552" s="70"/>
      <c r="O552" s="70"/>
      <c r="P552" s="70"/>
      <c r="Q552" s="70"/>
      <c r="R552" s="70"/>
      <c r="S552" s="70"/>
      <c r="T552" s="70"/>
      <c r="U552" s="70"/>
      <c r="V552" s="70"/>
      <c r="W552" s="70"/>
      <c r="X552" s="70"/>
      <c r="Y552" s="70"/>
      <c r="Z552" s="70"/>
      <c r="AA552" s="70"/>
      <c r="AB552" s="70"/>
      <c r="AC552" s="70"/>
      <c r="AD552" s="70"/>
      <c r="AE552" s="70"/>
      <c r="AF552" s="70"/>
      <c r="AG552" s="70"/>
      <c r="AH552" s="70"/>
      <c r="AI552" s="71"/>
    </row>
    <row r="553" spans="1:35" ht="15" thickBot="1" x14ac:dyDescent="0.25">
      <c r="A553" s="306" t="s">
        <v>206</v>
      </c>
      <c r="B553" s="307"/>
      <c r="C553" s="307"/>
      <c r="D553" s="307"/>
      <c r="E553" s="307"/>
      <c r="F553" s="307"/>
      <c r="G553" s="307"/>
      <c r="H553" s="307"/>
      <c r="I553" s="307"/>
      <c r="J553" s="307"/>
      <c r="K553" s="308"/>
    </row>
    <row r="554" spans="1:35" x14ac:dyDescent="0.2">
      <c r="A554" s="206" t="s">
        <v>64</v>
      </c>
      <c r="B554" s="200" t="s">
        <v>89</v>
      </c>
      <c r="C554" s="202" t="s">
        <v>61</v>
      </c>
      <c r="D554" s="325" t="s">
        <v>218</v>
      </c>
      <c r="E554" s="191">
        <v>2015</v>
      </c>
      <c r="F554" s="79">
        <f t="shared" ref="F554:F559" si="58">SUM(G554:I554)</f>
        <v>45</v>
      </c>
      <c r="G554" s="14"/>
      <c r="H554" s="14"/>
      <c r="I554" s="14">
        <v>45</v>
      </c>
      <c r="J554" s="14"/>
      <c r="K554" s="325" t="s">
        <v>173</v>
      </c>
    </row>
    <row r="555" spans="1:35" x14ac:dyDescent="0.2">
      <c r="A555" s="207"/>
      <c r="B555" s="201"/>
      <c r="C555" s="203"/>
      <c r="D555" s="198"/>
      <c r="E555" s="191">
        <v>2016</v>
      </c>
      <c r="F555" s="79">
        <f t="shared" si="58"/>
        <v>47</v>
      </c>
      <c r="G555" s="14"/>
      <c r="H555" s="14"/>
      <c r="I555" s="14">
        <v>47</v>
      </c>
      <c r="J555" s="14"/>
      <c r="K555" s="204"/>
    </row>
    <row r="556" spans="1:35" x14ac:dyDescent="0.2">
      <c r="A556" s="207"/>
      <c r="B556" s="201"/>
      <c r="C556" s="203"/>
      <c r="D556" s="198"/>
      <c r="E556" s="191">
        <v>2017</v>
      </c>
      <c r="F556" s="79">
        <f t="shared" si="58"/>
        <v>0</v>
      </c>
      <c r="G556" s="14"/>
      <c r="H556" s="14"/>
      <c r="I556" s="14">
        <f>42-42</f>
        <v>0</v>
      </c>
      <c r="J556" s="14"/>
      <c r="K556" s="204"/>
      <c r="L556" s="123"/>
    </row>
    <row r="557" spans="1:35" x14ac:dyDescent="0.2">
      <c r="A557" s="207"/>
      <c r="B557" s="201"/>
      <c r="C557" s="203"/>
      <c r="D557" s="198"/>
      <c r="E557" s="191">
        <v>2018</v>
      </c>
      <c r="F557" s="79">
        <f t="shared" si="58"/>
        <v>51</v>
      </c>
      <c r="G557" s="14"/>
      <c r="H557" s="14"/>
      <c r="I557" s="14">
        <v>51</v>
      </c>
      <c r="J557" s="14"/>
      <c r="K557" s="204"/>
      <c r="L557" s="130"/>
    </row>
    <row r="558" spans="1:35" x14ac:dyDescent="0.2">
      <c r="A558" s="207"/>
      <c r="B558" s="201"/>
      <c r="C558" s="203"/>
      <c r="D558" s="198"/>
      <c r="E558" s="191">
        <v>2019</v>
      </c>
      <c r="F558" s="79">
        <f t="shared" si="58"/>
        <v>53</v>
      </c>
      <c r="G558" s="14"/>
      <c r="H558" s="14"/>
      <c r="I558" s="14">
        <v>53</v>
      </c>
      <c r="J558" s="14"/>
      <c r="K558" s="204"/>
      <c r="L558" s="123"/>
    </row>
    <row r="559" spans="1:35" x14ac:dyDescent="0.2">
      <c r="A559" s="207"/>
      <c r="B559" s="201"/>
      <c r="C559" s="203"/>
      <c r="D559" s="198"/>
      <c r="E559" s="191">
        <v>2020</v>
      </c>
      <c r="F559" s="79">
        <f t="shared" si="58"/>
        <v>55</v>
      </c>
      <c r="G559" s="14"/>
      <c r="H559" s="14"/>
      <c r="I559" s="14">
        <v>55</v>
      </c>
      <c r="J559" s="14"/>
      <c r="K559" s="204"/>
    </row>
    <row r="560" spans="1:35" x14ac:dyDescent="0.2">
      <c r="A560" s="207"/>
      <c r="B560" s="201"/>
      <c r="C560" s="203"/>
      <c r="D560" s="199"/>
      <c r="E560" s="24" t="s">
        <v>18</v>
      </c>
      <c r="F560" s="21">
        <f>SUM(F554:F559)</f>
        <v>251</v>
      </c>
      <c r="G560" s="13"/>
      <c r="H560" s="13"/>
      <c r="I560" s="13">
        <f>SUM(I554:I559)</f>
        <v>251</v>
      </c>
      <c r="J560" s="14"/>
      <c r="K560" s="205"/>
    </row>
    <row r="561" spans="1:12" x14ac:dyDescent="0.2">
      <c r="A561" s="326" t="s">
        <v>292</v>
      </c>
      <c r="B561" s="200" t="s">
        <v>90</v>
      </c>
      <c r="C561" s="202" t="s">
        <v>61</v>
      </c>
      <c r="D561" s="197" t="s">
        <v>218</v>
      </c>
      <c r="E561" s="191">
        <v>2015</v>
      </c>
      <c r="F561" s="79">
        <f t="shared" ref="F561:F566" si="59">I561</f>
        <v>12</v>
      </c>
      <c r="G561" s="14"/>
      <c r="H561" s="14"/>
      <c r="I561" s="14">
        <v>12</v>
      </c>
      <c r="J561" s="14"/>
      <c r="K561" s="197" t="s">
        <v>174</v>
      </c>
    </row>
    <row r="562" spans="1:12" x14ac:dyDescent="0.2">
      <c r="A562" s="327"/>
      <c r="B562" s="201"/>
      <c r="C562" s="203"/>
      <c r="D562" s="198"/>
      <c r="E562" s="191">
        <v>2016</v>
      </c>
      <c r="F562" s="79">
        <f t="shared" si="59"/>
        <v>12.5</v>
      </c>
      <c r="G562" s="14"/>
      <c r="H562" s="14"/>
      <c r="I562" s="14">
        <v>12.5</v>
      </c>
      <c r="J562" s="14"/>
      <c r="K562" s="204"/>
    </row>
    <row r="563" spans="1:12" x14ac:dyDescent="0.2">
      <c r="A563" s="327"/>
      <c r="B563" s="201"/>
      <c r="C563" s="203"/>
      <c r="D563" s="198"/>
      <c r="E563" s="191">
        <v>2017</v>
      </c>
      <c r="F563" s="79">
        <f t="shared" si="59"/>
        <v>0</v>
      </c>
      <c r="G563" s="14"/>
      <c r="H563" s="14"/>
      <c r="I563" s="14">
        <f>9.3-9.3</f>
        <v>0</v>
      </c>
      <c r="J563" s="14"/>
      <c r="K563" s="204"/>
      <c r="L563" s="130"/>
    </row>
    <row r="564" spans="1:12" x14ac:dyDescent="0.2">
      <c r="A564" s="327"/>
      <c r="B564" s="201"/>
      <c r="C564" s="203"/>
      <c r="D564" s="198"/>
      <c r="E564" s="191">
        <v>2018</v>
      </c>
      <c r="F564" s="79">
        <f t="shared" si="59"/>
        <v>13.5</v>
      </c>
      <c r="G564" s="14"/>
      <c r="H564" s="14"/>
      <c r="I564" s="14">
        <v>13.5</v>
      </c>
      <c r="J564" s="14"/>
      <c r="K564" s="204"/>
      <c r="L564" s="123"/>
    </row>
    <row r="565" spans="1:12" x14ac:dyDescent="0.2">
      <c r="A565" s="327"/>
      <c r="B565" s="201"/>
      <c r="C565" s="203"/>
      <c r="D565" s="198"/>
      <c r="E565" s="191">
        <v>2019</v>
      </c>
      <c r="F565" s="79">
        <f t="shared" si="59"/>
        <v>14</v>
      </c>
      <c r="G565" s="14"/>
      <c r="H565" s="14"/>
      <c r="I565" s="14">
        <v>14</v>
      </c>
      <c r="J565" s="14"/>
      <c r="K565" s="204"/>
      <c r="L565" s="123"/>
    </row>
    <row r="566" spans="1:12" x14ac:dyDescent="0.2">
      <c r="A566" s="327"/>
      <c r="B566" s="201"/>
      <c r="C566" s="203"/>
      <c r="D566" s="198"/>
      <c r="E566" s="191">
        <v>2020</v>
      </c>
      <c r="F566" s="79">
        <f t="shared" si="59"/>
        <v>14.5</v>
      </c>
      <c r="G566" s="14"/>
      <c r="H566" s="14"/>
      <c r="I566" s="14">
        <v>14.5</v>
      </c>
      <c r="J566" s="14"/>
      <c r="K566" s="204"/>
    </row>
    <row r="567" spans="1:12" x14ac:dyDescent="0.2">
      <c r="A567" s="327"/>
      <c r="B567" s="201"/>
      <c r="C567" s="203"/>
      <c r="D567" s="199"/>
      <c r="E567" s="24" t="s">
        <v>18</v>
      </c>
      <c r="F567" s="21">
        <f>SUM(F561:F566)</f>
        <v>66.5</v>
      </c>
      <c r="G567" s="13"/>
      <c r="H567" s="13"/>
      <c r="I567" s="13">
        <f>SUM(I561:I566)</f>
        <v>66.5</v>
      </c>
      <c r="J567" s="14"/>
      <c r="K567" s="205"/>
    </row>
    <row r="568" spans="1:12" x14ac:dyDescent="0.2">
      <c r="A568" s="326" t="s">
        <v>300</v>
      </c>
      <c r="B568" s="200" t="s">
        <v>91</v>
      </c>
      <c r="C568" s="202" t="s">
        <v>61</v>
      </c>
      <c r="D568" s="197" t="s">
        <v>218</v>
      </c>
      <c r="E568" s="191">
        <v>2015</v>
      </c>
      <c r="F568" s="80"/>
      <c r="G568" s="2"/>
      <c r="H568" s="2"/>
      <c r="I568" s="2"/>
      <c r="J568" s="2"/>
      <c r="K568" s="197" t="s">
        <v>175</v>
      </c>
    </row>
    <row r="569" spans="1:12" x14ac:dyDescent="0.2">
      <c r="A569" s="327"/>
      <c r="B569" s="201"/>
      <c r="C569" s="203"/>
      <c r="D569" s="198"/>
      <c r="E569" s="191">
        <v>2016</v>
      </c>
      <c r="F569" s="80"/>
      <c r="G569" s="2"/>
      <c r="H569" s="2"/>
      <c r="I569" s="2"/>
      <c r="J569" s="2"/>
      <c r="K569" s="204"/>
    </row>
    <row r="570" spans="1:12" x14ac:dyDescent="0.2">
      <c r="A570" s="327"/>
      <c r="B570" s="201"/>
      <c r="C570" s="203"/>
      <c r="D570" s="198"/>
      <c r="E570" s="191">
        <v>2017</v>
      </c>
      <c r="F570" s="80"/>
      <c r="G570" s="2"/>
      <c r="H570" s="2"/>
      <c r="I570" s="2"/>
      <c r="J570" s="2"/>
      <c r="K570" s="204"/>
    </row>
    <row r="571" spans="1:12" x14ac:dyDescent="0.2">
      <c r="A571" s="327"/>
      <c r="B571" s="201"/>
      <c r="C571" s="203"/>
      <c r="D571" s="198"/>
      <c r="E571" s="191">
        <v>2018</v>
      </c>
      <c r="F571" s="80"/>
      <c r="G571" s="2"/>
      <c r="H571" s="2"/>
      <c r="I571" s="2"/>
      <c r="J571" s="2"/>
      <c r="K571" s="204"/>
      <c r="L571" s="130"/>
    </row>
    <row r="572" spans="1:12" x14ac:dyDescent="0.2">
      <c r="A572" s="327"/>
      <c r="B572" s="201"/>
      <c r="C572" s="203"/>
      <c r="D572" s="198"/>
      <c r="E572" s="191">
        <v>2019</v>
      </c>
      <c r="F572" s="80"/>
      <c r="G572" s="2"/>
      <c r="H572" s="2"/>
      <c r="I572" s="2"/>
      <c r="J572" s="2"/>
      <c r="K572" s="204"/>
    </row>
    <row r="573" spans="1:12" x14ac:dyDescent="0.2">
      <c r="A573" s="327"/>
      <c r="B573" s="201"/>
      <c r="C573" s="203"/>
      <c r="D573" s="198"/>
      <c r="E573" s="191">
        <v>2020</v>
      </c>
      <c r="F573" s="80"/>
      <c r="G573" s="2"/>
      <c r="H573" s="2"/>
      <c r="I573" s="2"/>
      <c r="J573" s="2"/>
      <c r="K573" s="204"/>
    </row>
    <row r="574" spans="1:12" x14ac:dyDescent="0.2">
      <c r="A574" s="327"/>
      <c r="B574" s="201"/>
      <c r="C574" s="203"/>
      <c r="D574" s="199"/>
      <c r="E574" s="24" t="s">
        <v>18</v>
      </c>
      <c r="F574" s="80"/>
      <c r="G574" s="2"/>
      <c r="H574" s="2"/>
      <c r="I574" s="2"/>
      <c r="J574" s="2"/>
      <c r="K574" s="205"/>
    </row>
    <row r="575" spans="1:12" ht="12.75" customHeight="1" x14ac:dyDescent="0.2">
      <c r="A575" s="326" t="s">
        <v>301</v>
      </c>
      <c r="B575" s="200" t="s">
        <v>92</v>
      </c>
      <c r="C575" s="202" t="s">
        <v>61</v>
      </c>
      <c r="D575" s="197" t="s">
        <v>218</v>
      </c>
      <c r="E575" s="191">
        <v>2015</v>
      </c>
      <c r="F575" s="80"/>
      <c r="G575" s="2"/>
      <c r="H575" s="2"/>
      <c r="I575" s="2"/>
      <c r="J575" s="2"/>
      <c r="K575" s="197" t="s">
        <v>176</v>
      </c>
    </row>
    <row r="576" spans="1:12" x14ac:dyDescent="0.2">
      <c r="A576" s="327"/>
      <c r="B576" s="201"/>
      <c r="C576" s="203"/>
      <c r="D576" s="198"/>
      <c r="E576" s="191">
        <v>2016</v>
      </c>
      <c r="F576" s="80"/>
      <c r="G576" s="2"/>
      <c r="H576" s="2"/>
      <c r="I576" s="2"/>
      <c r="J576" s="2"/>
      <c r="K576" s="204"/>
    </row>
    <row r="577" spans="1:35" x14ac:dyDescent="0.2">
      <c r="A577" s="327"/>
      <c r="B577" s="201"/>
      <c r="C577" s="203"/>
      <c r="D577" s="198"/>
      <c r="E577" s="191">
        <v>2017</v>
      </c>
      <c r="F577" s="80"/>
      <c r="G577" s="2"/>
      <c r="H577" s="2"/>
      <c r="I577" s="2"/>
      <c r="J577" s="2"/>
      <c r="K577" s="204"/>
    </row>
    <row r="578" spans="1:35" x14ac:dyDescent="0.2">
      <c r="A578" s="327"/>
      <c r="B578" s="201"/>
      <c r="C578" s="203"/>
      <c r="D578" s="198"/>
      <c r="E578" s="191">
        <v>2018</v>
      </c>
      <c r="F578" s="80"/>
      <c r="G578" s="2"/>
      <c r="H578" s="2"/>
      <c r="I578" s="2"/>
      <c r="J578" s="2"/>
      <c r="K578" s="204"/>
      <c r="L578" s="130"/>
    </row>
    <row r="579" spans="1:35" x14ac:dyDescent="0.2">
      <c r="A579" s="327"/>
      <c r="B579" s="201"/>
      <c r="C579" s="203"/>
      <c r="D579" s="198"/>
      <c r="E579" s="191">
        <v>2019</v>
      </c>
      <c r="F579" s="80"/>
      <c r="G579" s="2"/>
      <c r="H579" s="2"/>
      <c r="I579" s="2"/>
      <c r="J579" s="2"/>
      <c r="K579" s="204"/>
    </row>
    <row r="580" spans="1:35" x14ac:dyDescent="0.2">
      <c r="A580" s="327"/>
      <c r="B580" s="201"/>
      <c r="C580" s="203"/>
      <c r="D580" s="198"/>
      <c r="E580" s="191">
        <v>2020</v>
      </c>
      <c r="F580" s="80"/>
      <c r="G580" s="2"/>
      <c r="H580" s="2"/>
      <c r="I580" s="2"/>
      <c r="J580" s="2"/>
      <c r="K580" s="204"/>
    </row>
    <row r="581" spans="1:35" ht="24.75" customHeight="1" x14ac:dyDescent="0.2">
      <c r="A581" s="327"/>
      <c r="B581" s="201"/>
      <c r="C581" s="203"/>
      <c r="D581" s="199"/>
      <c r="E581" s="24" t="s">
        <v>18</v>
      </c>
      <c r="F581" s="80"/>
      <c r="G581" s="2"/>
      <c r="H581" s="2"/>
      <c r="I581" s="2"/>
      <c r="J581" s="2"/>
      <c r="K581" s="204"/>
      <c r="L581" s="160"/>
      <c r="M581" s="152"/>
    </row>
    <row r="582" spans="1:35" ht="15.75" customHeight="1" thickBot="1" x14ac:dyDescent="0.25">
      <c r="A582" s="309" t="s">
        <v>207</v>
      </c>
      <c r="B582" s="310"/>
      <c r="C582" s="310"/>
      <c r="D582" s="310"/>
      <c r="E582" s="6" t="s">
        <v>61</v>
      </c>
      <c r="F582" s="17">
        <f>F560+F567</f>
        <v>317.5</v>
      </c>
      <c r="G582" s="17"/>
      <c r="H582" s="17">
        <f>H560+H567+H574+H581</f>
        <v>0</v>
      </c>
      <c r="I582" s="17">
        <f>I560+I567+I574+I581</f>
        <v>317.5</v>
      </c>
      <c r="J582" s="17"/>
      <c r="K582" s="190"/>
    </row>
    <row r="583" spans="1:35" ht="31.5" customHeight="1" thickBot="1" x14ac:dyDescent="0.25">
      <c r="A583" s="283" t="s">
        <v>208</v>
      </c>
      <c r="B583" s="284"/>
      <c r="C583" s="284"/>
      <c r="D583" s="284"/>
      <c r="E583" s="284"/>
      <c r="F583" s="284"/>
      <c r="G583" s="284"/>
      <c r="H583" s="284"/>
      <c r="I583" s="284"/>
      <c r="J583" s="284"/>
      <c r="K583" s="284"/>
      <c r="L583" s="81"/>
      <c r="M583" s="81"/>
      <c r="N583" s="81"/>
      <c r="O583" s="81"/>
      <c r="P583" s="81"/>
      <c r="Q583" s="81"/>
      <c r="R583" s="81"/>
      <c r="S583" s="81"/>
      <c r="T583" s="81"/>
      <c r="U583" s="81"/>
      <c r="V583" s="81"/>
      <c r="W583" s="81"/>
      <c r="X583" s="81"/>
      <c r="Y583" s="81"/>
      <c r="Z583" s="81"/>
      <c r="AA583" s="81"/>
      <c r="AB583" s="81"/>
      <c r="AC583" s="81"/>
      <c r="AD583" s="81"/>
      <c r="AE583" s="81"/>
      <c r="AF583" s="81"/>
      <c r="AG583" s="81"/>
      <c r="AH583" s="81"/>
      <c r="AI583" s="82"/>
    </row>
    <row r="584" spans="1:35" ht="30" customHeight="1" thickBot="1" x14ac:dyDescent="0.25">
      <c r="A584" s="237" t="s">
        <v>209</v>
      </c>
      <c r="B584" s="344"/>
      <c r="C584" s="344"/>
      <c r="D584" s="345"/>
      <c r="E584" s="345"/>
      <c r="F584" s="345"/>
      <c r="G584" s="345"/>
      <c r="H584" s="345"/>
      <c r="I584" s="345"/>
      <c r="J584" s="345"/>
      <c r="K584" s="345"/>
      <c r="L584" s="83"/>
      <c r="M584" s="83"/>
      <c r="N584" s="83"/>
      <c r="O584" s="83"/>
      <c r="P584" s="83"/>
      <c r="Q584" s="83"/>
      <c r="R584" s="83"/>
      <c r="S584" s="83"/>
      <c r="T584" s="83"/>
      <c r="U584" s="83"/>
      <c r="V584" s="83"/>
      <c r="W584" s="83"/>
      <c r="X584" s="83"/>
      <c r="Y584" s="83"/>
      <c r="Z584" s="83"/>
      <c r="AA584" s="83"/>
      <c r="AB584" s="83"/>
      <c r="AC584" s="83"/>
      <c r="AD584" s="83"/>
      <c r="AE584" s="83"/>
      <c r="AF584" s="83"/>
      <c r="AG584" s="83"/>
      <c r="AH584" s="83"/>
      <c r="AI584" s="84"/>
    </row>
    <row r="585" spans="1:35" x14ac:dyDescent="0.2">
      <c r="A585" s="326" t="s">
        <v>93</v>
      </c>
      <c r="B585" s="200" t="s">
        <v>94</v>
      </c>
      <c r="C585" s="202" t="s">
        <v>61</v>
      </c>
      <c r="D585" s="197" t="s">
        <v>218</v>
      </c>
      <c r="E585" s="191">
        <v>2015</v>
      </c>
      <c r="F585" s="79">
        <f t="shared" ref="F585:F590" si="60">SUM(G585:I585)</f>
        <v>170</v>
      </c>
      <c r="G585" s="14"/>
      <c r="H585" s="14"/>
      <c r="I585" s="14">
        <v>170</v>
      </c>
      <c r="J585" s="14"/>
      <c r="K585" s="197" t="s">
        <v>177</v>
      </c>
    </row>
    <row r="586" spans="1:35" x14ac:dyDescent="0.2">
      <c r="A586" s="327"/>
      <c r="B586" s="201"/>
      <c r="C586" s="203"/>
      <c r="D586" s="198"/>
      <c r="E586" s="191">
        <v>2016</v>
      </c>
      <c r="F586" s="79">
        <f t="shared" si="60"/>
        <v>179.9</v>
      </c>
      <c r="G586" s="14"/>
      <c r="H586" s="14"/>
      <c r="I586" s="14">
        <f>180-0.1</f>
        <v>179.9</v>
      </c>
      <c r="J586" s="14"/>
      <c r="K586" s="204"/>
    </row>
    <row r="587" spans="1:35" x14ac:dyDescent="0.2">
      <c r="A587" s="327"/>
      <c r="B587" s="201"/>
      <c r="C587" s="203"/>
      <c r="D587" s="198"/>
      <c r="E587" s="191">
        <v>2017</v>
      </c>
      <c r="F587" s="79">
        <f t="shared" si="60"/>
        <v>155</v>
      </c>
      <c r="G587" s="14"/>
      <c r="H587" s="14"/>
      <c r="I587" s="14">
        <v>155</v>
      </c>
      <c r="J587" s="14"/>
      <c r="K587" s="204"/>
      <c r="L587" s="130"/>
    </row>
    <row r="588" spans="1:35" x14ac:dyDescent="0.2">
      <c r="A588" s="327"/>
      <c r="B588" s="201"/>
      <c r="C588" s="203"/>
      <c r="D588" s="198"/>
      <c r="E588" s="191">
        <v>2018</v>
      </c>
      <c r="F588" s="79">
        <f t="shared" si="60"/>
        <v>200</v>
      </c>
      <c r="G588" s="14"/>
      <c r="H588" s="14"/>
      <c r="I588" s="14">
        <v>200</v>
      </c>
      <c r="J588" s="14"/>
      <c r="K588" s="204"/>
      <c r="L588" s="123"/>
    </row>
    <row r="589" spans="1:35" x14ac:dyDescent="0.2">
      <c r="A589" s="327"/>
      <c r="B589" s="201"/>
      <c r="C589" s="203"/>
      <c r="D589" s="198"/>
      <c r="E589" s="191">
        <v>2019</v>
      </c>
      <c r="F589" s="79">
        <f t="shared" si="60"/>
        <v>210</v>
      </c>
      <c r="G589" s="14"/>
      <c r="H589" s="14"/>
      <c r="I589" s="14">
        <v>210</v>
      </c>
      <c r="J589" s="14"/>
      <c r="K589" s="204"/>
      <c r="L589" s="123"/>
    </row>
    <row r="590" spans="1:35" x14ac:dyDescent="0.2">
      <c r="A590" s="327"/>
      <c r="B590" s="201"/>
      <c r="C590" s="203"/>
      <c r="D590" s="198"/>
      <c r="E590" s="191">
        <v>2020</v>
      </c>
      <c r="F590" s="79">
        <f t="shared" si="60"/>
        <v>220</v>
      </c>
      <c r="G590" s="14"/>
      <c r="H590" s="14"/>
      <c r="I590" s="14">
        <v>220</v>
      </c>
      <c r="J590" s="14"/>
      <c r="K590" s="204"/>
    </row>
    <row r="591" spans="1:35" ht="13.5" thickBot="1" x14ac:dyDescent="0.25">
      <c r="A591" s="327"/>
      <c r="B591" s="201"/>
      <c r="C591" s="203"/>
      <c r="D591" s="199"/>
      <c r="E591" s="24" t="s">
        <v>18</v>
      </c>
      <c r="F591" s="21">
        <f>SUM(F585:F590)</f>
        <v>1134.9000000000001</v>
      </c>
      <c r="G591" s="13"/>
      <c r="H591" s="13"/>
      <c r="I591" s="13">
        <f>SUM(I585:I590)</f>
        <v>1134.9000000000001</v>
      </c>
      <c r="J591" s="14"/>
      <c r="K591" s="205"/>
    </row>
    <row r="592" spans="1:35" x14ac:dyDescent="0.2">
      <c r="A592" s="326" t="s">
        <v>67</v>
      </c>
      <c r="B592" s="329" t="s">
        <v>95</v>
      </c>
      <c r="C592" s="202" t="s">
        <v>61</v>
      </c>
      <c r="D592" s="197" t="s">
        <v>218</v>
      </c>
      <c r="E592" s="191">
        <v>2015</v>
      </c>
      <c r="F592" s="85"/>
      <c r="G592" s="14"/>
      <c r="H592" s="14"/>
      <c r="I592" s="14"/>
      <c r="J592" s="14"/>
      <c r="K592" s="197" t="s">
        <v>178</v>
      </c>
    </row>
    <row r="593" spans="1:35" x14ac:dyDescent="0.2">
      <c r="A593" s="327"/>
      <c r="B593" s="330"/>
      <c r="C593" s="203"/>
      <c r="D593" s="198"/>
      <c r="E593" s="191">
        <v>2016</v>
      </c>
      <c r="F593" s="85"/>
      <c r="G593" s="14"/>
      <c r="H593" s="14"/>
      <c r="I593" s="14"/>
      <c r="J593" s="14"/>
      <c r="K593" s="204"/>
    </row>
    <row r="594" spans="1:35" x14ac:dyDescent="0.2">
      <c r="A594" s="327"/>
      <c r="B594" s="330"/>
      <c r="C594" s="203"/>
      <c r="D594" s="198"/>
      <c r="E594" s="191">
        <v>2017</v>
      </c>
      <c r="F594" s="85"/>
      <c r="G594" s="14"/>
      <c r="H594" s="14"/>
      <c r="I594" s="14"/>
      <c r="J594" s="14"/>
      <c r="K594" s="204"/>
      <c r="L594" s="130"/>
    </row>
    <row r="595" spans="1:35" x14ac:dyDescent="0.2">
      <c r="A595" s="327"/>
      <c r="B595" s="330"/>
      <c r="C595" s="203"/>
      <c r="D595" s="198"/>
      <c r="E595" s="191">
        <v>2018</v>
      </c>
      <c r="F595" s="85"/>
      <c r="G595" s="14"/>
      <c r="H595" s="14"/>
      <c r="I595" s="14"/>
      <c r="J595" s="14"/>
      <c r="K595" s="204"/>
    </row>
    <row r="596" spans="1:35" x14ac:dyDescent="0.2">
      <c r="A596" s="327"/>
      <c r="B596" s="330"/>
      <c r="C596" s="203"/>
      <c r="D596" s="198"/>
      <c r="E596" s="191">
        <v>2019</v>
      </c>
      <c r="F596" s="85"/>
      <c r="G596" s="14"/>
      <c r="H596" s="14"/>
      <c r="I596" s="14"/>
      <c r="J596" s="14"/>
      <c r="K596" s="204"/>
    </row>
    <row r="597" spans="1:35" x14ac:dyDescent="0.2">
      <c r="A597" s="327"/>
      <c r="B597" s="330"/>
      <c r="C597" s="203"/>
      <c r="D597" s="198"/>
      <c r="E597" s="191">
        <v>2020</v>
      </c>
      <c r="F597" s="85"/>
      <c r="G597" s="14"/>
      <c r="H597" s="14"/>
      <c r="I597" s="14"/>
      <c r="J597" s="14"/>
      <c r="K597" s="204"/>
    </row>
    <row r="598" spans="1:35" x14ac:dyDescent="0.2">
      <c r="A598" s="337"/>
      <c r="B598" s="330"/>
      <c r="C598" s="269"/>
      <c r="D598" s="199"/>
      <c r="E598" s="32" t="s">
        <v>18</v>
      </c>
      <c r="F598" s="86"/>
      <c r="G598" s="28"/>
      <c r="H598" s="28"/>
      <c r="I598" s="28"/>
      <c r="J598" s="28"/>
      <c r="K598" s="204"/>
    </row>
    <row r="599" spans="1:35" ht="15.75" customHeight="1" thickBot="1" x14ac:dyDescent="0.25">
      <c r="A599" s="309" t="s">
        <v>195</v>
      </c>
      <c r="B599" s="310"/>
      <c r="C599" s="310"/>
      <c r="D599" s="310"/>
      <c r="E599" s="6" t="s">
        <v>61</v>
      </c>
      <c r="F599" s="17">
        <f>F591+F598</f>
        <v>1134.9000000000001</v>
      </c>
      <c r="G599" s="17"/>
      <c r="H599" s="17">
        <f>H591+H598</f>
        <v>0</v>
      </c>
      <c r="I599" s="17">
        <f>I591+I598</f>
        <v>1134.9000000000001</v>
      </c>
      <c r="J599" s="19"/>
      <c r="K599" s="114"/>
      <c r="M599" s="151"/>
      <c r="N599" s="152"/>
    </row>
    <row r="600" spans="1:35" ht="18" customHeight="1" thickBot="1" x14ac:dyDescent="0.25">
      <c r="A600" s="332" t="s">
        <v>210</v>
      </c>
      <c r="B600" s="333"/>
      <c r="C600" s="333"/>
      <c r="D600" s="333"/>
      <c r="E600" s="333"/>
      <c r="F600" s="333"/>
      <c r="G600" s="333"/>
      <c r="H600" s="333"/>
      <c r="I600" s="333"/>
      <c r="J600" s="333"/>
      <c r="K600" s="334"/>
      <c r="L600" s="70"/>
      <c r="M600" s="70"/>
      <c r="N600" s="70"/>
      <c r="O600" s="70"/>
      <c r="P600" s="70"/>
      <c r="Q600" s="70"/>
      <c r="R600" s="70"/>
      <c r="S600" s="70"/>
      <c r="T600" s="70"/>
      <c r="U600" s="70"/>
      <c r="V600" s="70"/>
      <c r="W600" s="70"/>
      <c r="X600" s="70"/>
      <c r="Y600" s="70"/>
      <c r="Z600" s="70"/>
      <c r="AA600" s="70"/>
      <c r="AB600" s="70"/>
      <c r="AC600" s="70"/>
      <c r="AD600" s="70"/>
      <c r="AE600" s="70"/>
      <c r="AF600" s="70"/>
      <c r="AG600" s="70"/>
      <c r="AH600" s="70"/>
      <c r="AI600" s="71"/>
    </row>
    <row r="601" spans="1:35" ht="15" thickBot="1" x14ac:dyDescent="0.25">
      <c r="A601" s="306" t="s">
        <v>76</v>
      </c>
      <c r="B601" s="335"/>
      <c r="C601" s="335"/>
      <c r="D601" s="335"/>
      <c r="E601" s="335"/>
      <c r="F601" s="335"/>
      <c r="G601" s="335"/>
      <c r="H601" s="335"/>
      <c r="I601" s="335"/>
      <c r="J601" s="335"/>
      <c r="K601" s="336"/>
      <c r="L601" s="87"/>
      <c r="M601" s="87"/>
      <c r="N601" s="87"/>
      <c r="O601" s="87"/>
      <c r="P601" s="87"/>
      <c r="Q601" s="87"/>
      <c r="R601" s="87"/>
      <c r="S601" s="87"/>
      <c r="T601" s="87"/>
      <c r="U601" s="87"/>
      <c r="V601" s="87"/>
      <c r="W601" s="87"/>
      <c r="X601" s="87"/>
      <c r="Y601" s="87"/>
      <c r="Z601" s="87"/>
      <c r="AA601" s="87"/>
      <c r="AB601" s="87"/>
      <c r="AC601" s="87"/>
      <c r="AD601" s="87"/>
      <c r="AE601" s="87"/>
      <c r="AF601" s="87"/>
      <c r="AG601" s="87"/>
      <c r="AH601" s="87"/>
      <c r="AI601" s="88"/>
    </row>
    <row r="602" spans="1:35" x14ac:dyDescent="0.2">
      <c r="A602" s="341" t="s">
        <v>77</v>
      </c>
      <c r="B602" s="211" t="s">
        <v>96</v>
      </c>
      <c r="C602" s="205" t="s">
        <v>61</v>
      </c>
      <c r="D602" s="204" t="s">
        <v>218</v>
      </c>
      <c r="E602" s="187">
        <v>2015</v>
      </c>
      <c r="F602" s="115">
        <f t="shared" ref="F602:F607" si="61">SUM(G602:I602)</f>
        <v>5</v>
      </c>
      <c r="G602" s="12"/>
      <c r="H602" s="12"/>
      <c r="I602" s="12">
        <v>5</v>
      </c>
      <c r="J602" s="12"/>
      <c r="K602" s="204" t="s">
        <v>179</v>
      </c>
    </row>
    <row r="603" spans="1:35" x14ac:dyDescent="0.2">
      <c r="A603" s="327"/>
      <c r="B603" s="201"/>
      <c r="C603" s="339"/>
      <c r="D603" s="198"/>
      <c r="E603" s="191">
        <v>2016</v>
      </c>
      <c r="F603" s="79">
        <f t="shared" si="61"/>
        <v>6</v>
      </c>
      <c r="G603" s="14"/>
      <c r="H603" s="14"/>
      <c r="I603" s="14">
        <v>6</v>
      </c>
      <c r="J603" s="14"/>
      <c r="K603" s="204"/>
    </row>
    <row r="604" spans="1:35" x14ac:dyDescent="0.2">
      <c r="A604" s="327"/>
      <c r="B604" s="201"/>
      <c r="C604" s="339"/>
      <c r="D604" s="198"/>
      <c r="E604" s="191">
        <v>2017</v>
      </c>
      <c r="F604" s="79">
        <f t="shared" si="61"/>
        <v>5</v>
      </c>
      <c r="G604" s="14"/>
      <c r="H604" s="14"/>
      <c r="I604" s="14">
        <v>5</v>
      </c>
      <c r="J604" s="14"/>
      <c r="K604" s="204"/>
      <c r="L604" s="123"/>
    </row>
    <row r="605" spans="1:35" x14ac:dyDescent="0.2">
      <c r="A605" s="327"/>
      <c r="B605" s="201"/>
      <c r="C605" s="339"/>
      <c r="D605" s="198"/>
      <c r="E605" s="191">
        <v>2018</v>
      </c>
      <c r="F605" s="79">
        <f t="shared" si="61"/>
        <v>7</v>
      </c>
      <c r="G605" s="14"/>
      <c r="H605" s="14"/>
      <c r="I605" s="14">
        <v>7</v>
      </c>
      <c r="J605" s="14"/>
      <c r="K605" s="204"/>
      <c r="L605" s="130"/>
    </row>
    <row r="606" spans="1:35" x14ac:dyDescent="0.2">
      <c r="A606" s="327"/>
      <c r="B606" s="201"/>
      <c r="C606" s="339"/>
      <c r="D606" s="198"/>
      <c r="E606" s="191">
        <v>2019</v>
      </c>
      <c r="F606" s="79">
        <f t="shared" si="61"/>
        <v>7.5</v>
      </c>
      <c r="G606" s="14"/>
      <c r="H606" s="14"/>
      <c r="I606" s="14">
        <v>7.5</v>
      </c>
      <c r="J606" s="14"/>
      <c r="K606" s="204"/>
      <c r="L606" s="123"/>
    </row>
    <row r="607" spans="1:35" x14ac:dyDescent="0.2">
      <c r="A607" s="327"/>
      <c r="B607" s="201"/>
      <c r="C607" s="339"/>
      <c r="D607" s="198"/>
      <c r="E607" s="191">
        <v>2020</v>
      </c>
      <c r="F607" s="79">
        <f t="shared" si="61"/>
        <v>8</v>
      </c>
      <c r="G607" s="14"/>
      <c r="H607" s="14"/>
      <c r="I607" s="14">
        <v>8</v>
      </c>
      <c r="J607" s="14"/>
      <c r="K607" s="204"/>
    </row>
    <row r="608" spans="1:35" x14ac:dyDescent="0.2">
      <c r="A608" s="337"/>
      <c r="B608" s="239"/>
      <c r="C608" s="340"/>
      <c r="D608" s="199"/>
      <c r="E608" s="32" t="s">
        <v>18</v>
      </c>
      <c r="F608" s="89">
        <f>SUM(F602:F607)</f>
        <v>38.5</v>
      </c>
      <c r="G608" s="22"/>
      <c r="H608" s="22"/>
      <c r="I608" s="22">
        <f>SUM(I602:I607)</f>
        <v>38.5</v>
      </c>
      <c r="J608" s="28"/>
      <c r="K608" s="205"/>
    </row>
    <row r="609" spans="1:35" x14ac:dyDescent="0.2">
      <c r="A609" s="342" t="s">
        <v>79</v>
      </c>
      <c r="B609" s="200" t="s">
        <v>97</v>
      </c>
      <c r="C609" s="338" t="s">
        <v>61</v>
      </c>
      <c r="D609" s="197" t="s">
        <v>218</v>
      </c>
      <c r="E609" s="191">
        <v>2015</v>
      </c>
      <c r="F609" s="94">
        <f t="shared" ref="F609:F614" si="62">SUM(G609:I609)</f>
        <v>13.5</v>
      </c>
      <c r="G609" s="14"/>
      <c r="H609" s="14"/>
      <c r="I609" s="14">
        <v>13.5</v>
      </c>
      <c r="J609" s="14"/>
      <c r="K609" s="197" t="s">
        <v>179</v>
      </c>
    </row>
    <row r="610" spans="1:35" x14ac:dyDescent="0.2">
      <c r="A610" s="343"/>
      <c r="B610" s="201"/>
      <c r="C610" s="339"/>
      <c r="D610" s="198"/>
      <c r="E610" s="191">
        <v>2016</v>
      </c>
      <c r="F610" s="94">
        <f t="shared" si="62"/>
        <v>14</v>
      </c>
      <c r="G610" s="14"/>
      <c r="H610" s="14"/>
      <c r="I610" s="14">
        <v>14</v>
      </c>
      <c r="J610" s="14"/>
      <c r="K610" s="204"/>
    </row>
    <row r="611" spans="1:35" x14ac:dyDescent="0.2">
      <c r="A611" s="343"/>
      <c r="B611" s="201"/>
      <c r="C611" s="339"/>
      <c r="D611" s="198"/>
      <c r="E611" s="191">
        <v>2017</v>
      </c>
      <c r="F611" s="94">
        <f t="shared" si="62"/>
        <v>11.3</v>
      </c>
      <c r="G611" s="14"/>
      <c r="H611" s="14"/>
      <c r="I611" s="14">
        <v>11.3</v>
      </c>
      <c r="J611" s="14"/>
      <c r="K611" s="204"/>
      <c r="L611" s="123"/>
    </row>
    <row r="612" spans="1:35" x14ac:dyDescent="0.2">
      <c r="A612" s="343"/>
      <c r="B612" s="201"/>
      <c r="C612" s="339"/>
      <c r="D612" s="198"/>
      <c r="E612" s="191">
        <v>2018</v>
      </c>
      <c r="F612" s="94">
        <f t="shared" si="62"/>
        <v>15</v>
      </c>
      <c r="G612" s="14"/>
      <c r="H612" s="14"/>
      <c r="I612" s="14">
        <v>15</v>
      </c>
      <c r="J612" s="14"/>
      <c r="K612" s="204"/>
      <c r="L612" s="130"/>
    </row>
    <row r="613" spans="1:35" x14ac:dyDescent="0.2">
      <c r="A613" s="343"/>
      <c r="B613" s="201"/>
      <c r="C613" s="339"/>
      <c r="D613" s="198"/>
      <c r="E613" s="191">
        <v>2019</v>
      </c>
      <c r="F613" s="94">
        <f t="shared" si="62"/>
        <v>15.5</v>
      </c>
      <c r="G613" s="14"/>
      <c r="H613" s="14"/>
      <c r="I613" s="14">
        <v>15.5</v>
      </c>
      <c r="J613" s="14"/>
      <c r="K613" s="204"/>
      <c r="L613" s="123"/>
    </row>
    <row r="614" spans="1:35" x14ac:dyDescent="0.2">
      <c r="A614" s="343"/>
      <c r="B614" s="201"/>
      <c r="C614" s="339"/>
      <c r="D614" s="198"/>
      <c r="E614" s="191">
        <v>2020</v>
      </c>
      <c r="F614" s="94">
        <f t="shared" si="62"/>
        <v>16</v>
      </c>
      <c r="G614" s="14"/>
      <c r="H614" s="14"/>
      <c r="I614" s="14">
        <v>16</v>
      </c>
      <c r="J614" s="14"/>
      <c r="K614" s="204"/>
    </row>
    <row r="615" spans="1:35" x14ac:dyDescent="0.2">
      <c r="A615" s="343"/>
      <c r="B615" s="201"/>
      <c r="C615" s="339"/>
      <c r="D615" s="199"/>
      <c r="E615" s="24" t="s">
        <v>18</v>
      </c>
      <c r="F615" s="20">
        <f>SUM(F609:F614)</f>
        <v>85.3</v>
      </c>
      <c r="G615" s="13"/>
      <c r="H615" s="13"/>
      <c r="I615" s="13">
        <f>SUM(I609:I614)</f>
        <v>85.3</v>
      </c>
      <c r="J615" s="14"/>
      <c r="K615" s="204"/>
    </row>
    <row r="616" spans="1:35" ht="14.25" customHeight="1" thickBot="1" x14ac:dyDescent="0.25">
      <c r="A616" s="309" t="s">
        <v>197</v>
      </c>
      <c r="B616" s="310"/>
      <c r="C616" s="310"/>
      <c r="D616" s="310"/>
      <c r="E616" s="6" t="s">
        <v>61</v>
      </c>
      <c r="F616" s="17">
        <f>SUM(G616:I616)</f>
        <v>123.8</v>
      </c>
      <c r="G616" s="17"/>
      <c r="H616" s="17">
        <f>H615+H608</f>
        <v>0</v>
      </c>
      <c r="I616" s="17">
        <f>I615+I608</f>
        <v>123.8</v>
      </c>
      <c r="J616" s="19"/>
      <c r="K616" s="184"/>
      <c r="L616" s="151"/>
      <c r="M616" s="152"/>
    </row>
    <row r="617" spans="1:35" ht="15" thickBot="1" x14ac:dyDescent="0.25">
      <c r="A617" s="237" t="s">
        <v>211</v>
      </c>
      <c r="B617" s="201"/>
      <c r="C617" s="201"/>
      <c r="D617" s="201"/>
      <c r="E617" s="201"/>
      <c r="F617" s="201"/>
      <c r="G617" s="201"/>
      <c r="H617" s="201"/>
      <c r="I617" s="201"/>
      <c r="J617" s="201"/>
      <c r="K617" s="201"/>
      <c r="L617" s="70"/>
      <c r="M617" s="70"/>
      <c r="N617" s="70"/>
      <c r="O617" s="70"/>
      <c r="P617" s="70"/>
      <c r="Q617" s="70"/>
      <c r="R617" s="70"/>
      <c r="S617" s="70"/>
      <c r="T617" s="70"/>
      <c r="U617" s="70"/>
      <c r="V617" s="70"/>
      <c r="W617" s="70"/>
      <c r="X617" s="70"/>
      <c r="Y617" s="70"/>
      <c r="Z617" s="70"/>
      <c r="AA617" s="70"/>
      <c r="AB617" s="70"/>
      <c r="AC617" s="70"/>
      <c r="AD617" s="70"/>
      <c r="AE617" s="70"/>
      <c r="AF617" s="70"/>
      <c r="AG617" s="70"/>
      <c r="AH617" s="70"/>
      <c r="AI617" s="71"/>
    </row>
    <row r="618" spans="1:35" ht="15" thickBot="1" x14ac:dyDescent="0.25">
      <c r="A618" s="237" t="s">
        <v>98</v>
      </c>
      <c r="B618" s="201"/>
      <c r="C618" s="201"/>
      <c r="D618" s="201"/>
      <c r="E618" s="201"/>
      <c r="F618" s="201"/>
      <c r="G618" s="201"/>
      <c r="H618" s="201"/>
      <c r="I618" s="201"/>
      <c r="J618" s="201"/>
      <c r="K618" s="201"/>
      <c r="L618" s="83"/>
      <c r="M618" s="83"/>
      <c r="N618" s="83"/>
      <c r="O618" s="83"/>
      <c r="P618" s="83"/>
      <c r="Q618" s="83"/>
      <c r="R618" s="83"/>
      <c r="S618" s="83"/>
      <c r="T618" s="83"/>
      <c r="U618" s="83"/>
      <c r="V618" s="83"/>
      <c r="W618" s="83"/>
      <c r="X618" s="83"/>
      <c r="Y618" s="83"/>
      <c r="Z618" s="83"/>
      <c r="AA618" s="83"/>
      <c r="AB618" s="83"/>
      <c r="AC618" s="83"/>
      <c r="AD618" s="83"/>
      <c r="AE618" s="83"/>
      <c r="AF618" s="83"/>
      <c r="AG618" s="83"/>
      <c r="AH618" s="83"/>
      <c r="AI618" s="84"/>
    </row>
    <row r="619" spans="1:35" ht="12.75" customHeight="1" x14ac:dyDescent="0.2">
      <c r="A619" s="206" t="s">
        <v>99</v>
      </c>
      <c r="B619" s="329" t="s">
        <v>225</v>
      </c>
      <c r="C619" s="338" t="s">
        <v>61</v>
      </c>
      <c r="D619" s="197" t="s">
        <v>218</v>
      </c>
      <c r="E619" s="191">
        <v>2015</v>
      </c>
      <c r="F619" s="79">
        <f t="shared" ref="F619:F624" si="63">SUM(G619:I619)</f>
        <v>230</v>
      </c>
      <c r="G619" s="14"/>
      <c r="H619" s="14"/>
      <c r="I619" s="14">
        <v>230</v>
      </c>
      <c r="J619" s="14"/>
      <c r="K619" s="197" t="s">
        <v>182</v>
      </c>
    </row>
    <row r="620" spans="1:35" x14ac:dyDescent="0.2">
      <c r="A620" s="207"/>
      <c r="B620" s="330"/>
      <c r="C620" s="339"/>
      <c r="D620" s="198"/>
      <c r="E620" s="191">
        <v>2016</v>
      </c>
      <c r="F620" s="79">
        <f t="shared" si="63"/>
        <v>245</v>
      </c>
      <c r="G620" s="14"/>
      <c r="H620" s="14"/>
      <c r="I620" s="14">
        <v>245</v>
      </c>
      <c r="J620" s="14"/>
      <c r="K620" s="204"/>
    </row>
    <row r="621" spans="1:35" x14ac:dyDescent="0.2">
      <c r="A621" s="207"/>
      <c r="B621" s="330"/>
      <c r="C621" s="339"/>
      <c r="D621" s="198"/>
      <c r="E621" s="191">
        <v>2017</v>
      </c>
      <c r="F621" s="79">
        <f t="shared" si="63"/>
        <v>261.3</v>
      </c>
      <c r="G621" s="14"/>
      <c r="H621" s="14"/>
      <c r="I621" s="14">
        <f>210+51.3</f>
        <v>261.3</v>
      </c>
      <c r="J621" s="14"/>
      <c r="K621" s="204"/>
      <c r="L621" s="123"/>
    </row>
    <row r="622" spans="1:35" x14ac:dyDescent="0.2">
      <c r="A622" s="207"/>
      <c r="B622" s="330"/>
      <c r="C622" s="339"/>
      <c r="D622" s="198"/>
      <c r="E622" s="191">
        <v>2018</v>
      </c>
      <c r="F622" s="79">
        <f t="shared" si="63"/>
        <v>270</v>
      </c>
      <c r="G622" s="14"/>
      <c r="H622" s="14"/>
      <c r="I622" s="14">
        <v>270</v>
      </c>
      <c r="J622" s="14"/>
      <c r="K622" s="204"/>
      <c r="L622" s="130"/>
    </row>
    <row r="623" spans="1:35" x14ac:dyDescent="0.2">
      <c r="A623" s="207"/>
      <c r="B623" s="330"/>
      <c r="C623" s="339"/>
      <c r="D623" s="198"/>
      <c r="E623" s="191">
        <v>2019</v>
      </c>
      <c r="F623" s="79">
        <f t="shared" si="63"/>
        <v>290</v>
      </c>
      <c r="G623" s="14"/>
      <c r="H623" s="14"/>
      <c r="I623" s="14">
        <v>290</v>
      </c>
      <c r="J623" s="14"/>
      <c r="K623" s="204"/>
      <c r="L623" s="123"/>
    </row>
    <row r="624" spans="1:35" x14ac:dyDescent="0.2">
      <c r="A624" s="207"/>
      <c r="B624" s="330"/>
      <c r="C624" s="339"/>
      <c r="D624" s="198"/>
      <c r="E624" s="191">
        <v>2020</v>
      </c>
      <c r="F624" s="79">
        <f t="shared" si="63"/>
        <v>300</v>
      </c>
      <c r="G624" s="14"/>
      <c r="H624" s="14"/>
      <c r="I624" s="14">
        <v>300</v>
      </c>
      <c r="J624" s="14"/>
      <c r="K624" s="204"/>
    </row>
    <row r="625" spans="1:12" ht="13.5" thickBot="1" x14ac:dyDescent="0.25">
      <c r="A625" s="207"/>
      <c r="B625" s="331"/>
      <c r="C625" s="339"/>
      <c r="D625" s="199"/>
      <c r="E625" s="24" t="s">
        <v>18</v>
      </c>
      <c r="F625" s="21">
        <f>SUM(F619:F624)</f>
        <v>1596.3</v>
      </c>
      <c r="G625" s="13"/>
      <c r="H625" s="13"/>
      <c r="I625" s="13">
        <f>SUM(I619:I624)</f>
        <v>1596.3</v>
      </c>
      <c r="J625" s="14"/>
      <c r="K625" s="204"/>
    </row>
    <row r="626" spans="1:12" x14ac:dyDescent="0.2">
      <c r="A626" s="326" t="s">
        <v>302</v>
      </c>
      <c r="B626" s="329" t="s">
        <v>227</v>
      </c>
      <c r="C626" s="338" t="s">
        <v>61</v>
      </c>
      <c r="D626" s="197" t="s">
        <v>218</v>
      </c>
      <c r="E626" s="191">
        <v>2015</v>
      </c>
      <c r="F626" s="79">
        <f t="shared" ref="F626:F631" si="64">SUM(G626:I626)</f>
        <v>80</v>
      </c>
      <c r="G626" s="14"/>
      <c r="H626" s="14"/>
      <c r="I626" s="14">
        <v>80</v>
      </c>
      <c r="J626" s="14"/>
      <c r="K626" s="204"/>
    </row>
    <row r="627" spans="1:12" x14ac:dyDescent="0.2">
      <c r="A627" s="327"/>
      <c r="B627" s="330"/>
      <c r="C627" s="339"/>
      <c r="D627" s="198"/>
      <c r="E627" s="191">
        <v>2016</v>
      </c>
      <c r="F627" s="79">
        <f t="shared" si="64"/>
        <v>85</v>
      </c>
      <c r="G627" s="14"/>
      <c r="H627" s="14"/>
      <c r="I627" s="14">
        <v>85</v>
      </c>
      <c r="J627" s="14"/>
      <c r="K627" s="204"/>
    </row>
    <row r="628" spans="1:12" x14ac:dyDescent="0.2">
      <c r="A628" s="327"/>
      <c r="B628" s="330"/>
      <c r="C628" s="339"/>
      <c r="D628" s="198"/>
      <c r="E628" s="191">
        <v>2017</v>
      </c>
      <c r="F628" s="79">
        <f t="shared" si="64"/>
        <v>60</v>
      </c>
      <c r="G628" s="14"/>
      <c r="H628" s="14"/>
      <c r="I628" s="14">
        <v>60</v>
      </c>
      <c r="J628" s="14"/>
      <c r="K628" s="204"/>
      <c r="L628" s="130"/>
    </row>
    <row r="629" spans="1:12" x14ac:dyDescent="0.2">
      <c r="A629" s="327"/>
      <c r="B629" s="330"/>
      <c r="C629" s="339"/>
      <c r="D629" s="198"/>
      <c r="E629" s="191">
        <v>2018</v>
      </c>
      <c r="F629" s="79">
        <f t="shared" si="64"/>
        <v>95</v>
      </c>
      <c r="G629" s="14"/>
      <c r="H629" s="14"/>
      <c r="I629" s="14">
        <v>95</v>
      </c>
      <c r="J629" s="14"/>
      <c r="K629" s="204"/>
      <c r="L629" s="123"/>
    </row>
    <row r="630" spans="1:12" x14ac:dyDescent="0.2">
      <c r="A630" s="327"/>
      <c r="B630" s="330"/>
      <c r="C630" s="339"/>
      <c r="D630" s="198"/>
      <c r="E630" s="191">
        <v>2019</v>
      </c>
      <c r="F630" s="79">
        <f t="shared" si="64"/>
        <v>100</v>
      </c>
      <c r="G630" s="14"/>
      <c r="H630" s="14"/>
      <c r="I630" s="14">
        <v>100</v>
      </c>
      <c r="J630" s="14"/>
      <c r="K630" s="204"/>
      <c r="L630" s="123"/>
    </row>
    <row r="631" spans="1:12" x14ac:dyDescent="0.2">
      <c r="A631" s="327"/>
      <c r="B631" s="330"/>
      <c r="C631" s="339"/>
      <c r="D631" s="198"/>
      <c r="E631" s="191">
        <v>2020</v>
      </c>
      <c r="F631" s="79">
        <f t="shared" si="64"/>
        <v>110</v>
      </c>
      <c r="G631" s="14"/>
      <c r="H631" s="14"/>
      <c r="I631" s="14">
        <v>110</v>
      </c>
      <c r="J631" s="14"/>
      <c r="K631" s="204"/>
    </row>
    <row r="632" spans="1:12" ht="13.5" thickBot="1" x14ac:dyDescent="0.25">
      <c r="A632" s="327"/>
      <c r="B632" s="331"/>
      <c r="C632" s="339"/>
      <c r="D632" s="199"/>
      <c r="E632" s="24" t="s">
        <v>18</v>
      </c>
      <c r="F632" s="21">
        <f>SUM(F626:F631)</f>
        <v>530</v>
      </c>
      <c r="G632" s="13"/>
      <c r="H632" s="13"/>
      <c r="I632" s="13">
        <f>SUM(I626:I631)</f>
        <v>530</v>
      </c>
      <c r="J632" s="14"/>
      <c r="K632" s="205"/>
    </row>
    <row r="633" spans="1:12" x14ac:dyDescent="0.2">
      <c r="A633" s="326" t="s">
        <v>303</v>
      </c>
      <c r="B633" s="352" t="s">
        <v>226</v>
      </c>
      <c r="C633" s="338" t="s">
        <v>61</v>
      </c>
      <c r="D633" s="197" t="s">
        <v>218</v>
      </c>
      <c r="E633" s="191">
        <v>2015</v>
      </c>
      <c r="F633" s="79">
        <f t="shared" ref="F633:F638" si="65">SUM(G633:I633)</f>
        <v>47</v>
      </c>
      <c r="G633" s="14"/>
      <c r="H633" s="14"/>
      <c r="I633" s="14">
        <v>47</v>
      </c>
      <c r="J633" s="90"/>
      <c r="K633" s="197" t="s">
        <v>242</v>
      </c>
    </row>
    <row r="634" spans="1:12" x14ac:dyDescent="0.2">
      <c r="A634" s="327"/>
      <c r="B634" s="353"/>
      <c r="C634" s="339"/>
      <c r="D634" s="198"/>
      <c r="E634" s="191">
        <v>2016</v>
      </c>
      <c r="F634" s="79">
        <f t="shared" si="65"/>
        <v>50</v>
      </c>
      <c r="G634" s="14"/>
      <c r="H634" s="14"/>
      <c r="I634" s="14">
        <v>50</v>
      </c>
      <c r="J634" s="90"/>
      <c r="K634" s="204"/>
    </row>
    <row r="635" spans="1:12" x14ac:dyDescent="0.2">
      <c r="A635" s="327"/>
      <c r="B635" s="353"/>
      <c r="C635" s="339"/>
      <c r="D635" s="198"/>
      <c r="E635" s="191">
        <v>2017</v>
      </c>
      <c r="F635" s="79">
        <f t="shared" si="65"/>
        <v>40</v>
      </c>
      <c r="G635" s="14"/>
      <c r="H635" s="14"/>
      <c r="I635" s="14">
        <v>40</v>
      </c>
      <c r="J635" s="90"/>
      <c r="K635" s="204"/>
      <c r="L635" s="123"/>
    </row>
    <row r="636" spans="1:12" x14ac:dyDescent="0.2">
      <c r="A636" s="327"/>
      <c r="B636" s="353"/>
      <c r="C636" s="339"/>
      <c r="D636" s="198"/>
      <c r="E636" s="191">
        <v>2018</v>
      </c>
      <c r="F636" s="79">
        <f t="shared" si="65"/>
        <v>56</v>
      </c>
      <c r="G636" s="14"/>
      <c r="H636" s="14"/>
      <c r="I636" s="14">
        <v>56</v>
      </c>
      <c r="J636" s="90"/>
      <c r="K636" s="204"/>
      <c r="L636" s="123"/>
    </row>
    <row r="637" spans="1:12" x14ac:dyDescent="0.2">
      <c r="A637" s="327"/>
      <c r="B637" s="353"/>
      <c r="C637" s="339"/>
      <c r="D637" s="198"/>
      <c r="E637" s="191">
        <v>2019</v>
      </c>
      <c r="F637" s="79">
        <f t="shared" si="65"/>
        <v>59</v>
      </c>
      <c r="G637" s="14"/>
      <c r="H637" s="14"/>
      <c r="I637" s="14">
        <v>59</v>
      </c>
      <c r="J637" s="90"/>
      <c r="K637" s="204"/>
      <c r="L637" s="130"/>
    </row>
    <row r="638" spans="1:12" x14ac:dyDescent="0.2">
      <c r="A638" s="327"/>
      <c r="B638" s="353"/>
      <c r="C638" s="339"/>
      <c r="D638" s="198"/>
      <c r="E638" s="191">
        <v>2020</v>
      </c>
      <c r="F638" s="79">
        <f t="shared" si="65"/>
        <v>62</v>
      </c>
      <c r="G638" s="14"/>
      <c r="H638" s="14"/>
      <c r="I638" s="14">
        <v>62</v>
      </c>
      <c r="J638" s="90"/>
      <c r="K638" s="204"/>
    </row>
    <row r="639" spans="1:12" ht="13.5" thickBot="1" x14ac:dyDescent="0.25">
      <c r="A639" s="327"/>
      <c r="B639" s="354"/>
      <c r="C639" s="339"/>
      <c r="D639" s="199"/>
      <c r="E639" s="24" t="s">
        <v>18</v>
      </c>
      <c r="F639" s="21">
        <f>SUM(F633:F638)</f>
        <v>314</v>
      </c>
      <c r="G639" s="14"/>
      <c r="H639" s="14"/>
      <c r="I639" s="13">
        <f>SUM(I633:I638)</f>
        <v>314</v>
      </c>
      <c r="J639" s="90"/>
      <c r="K639" s="204"/>
    </row>
    <row r="640" spans="1:12" x14ac:dyDescent="0.2">
      <c r="A640" s="326" t="s">
        <v>304</v>
      </c>
      <c r="B640" s="329" t="s">
        <v>100</v>
      </c>
      <c r="C640" s="338" t="s">
        <v>61</v>
      </c>
      <c r="D640" s="197" t="s">
        <v>218</v>
      </c>
      <c r="E640" s="191">
        <v>2015</v>
      </c>
      <c r="F640" s="79">
        <f t="shared" ref="F640:F645" si="66">SUM(G640:I640)</f>
        <v>40.6</v>
      </c>
      <c r="G640" s="14"/>
      <c r="H640" s="14"/>
      <c r="I640" s="14">
        <v>40.6</v>
      </c>
      <c r="J640" s="14"/>
      <c r="K640" s="204"/>
    </row>
    <row r="641" spans="1:12" x14ac:dyDescent="0.2">
      <c r="A641" s="327"/>
      <c r="B641" s="330"/>
      <c r="C641" s="339"/>
      <c r="D641" s="198"/>
      <c r="E641" s="191">
        <v>2016</v>
      </c>
      <c r="F641" s="79">
        <f t="shared" si="66"/>
        <v>50</v>
      </c>
      <c r="G641" s="14"/>
      <c r="H641" s="14"/>
      <c r="I641" s="14">
        <v>50</v>
      </c>
      <c r="J641" s="14"/>
      <c r="K641" s="204"/>
    </row>
    <row r="642" spans="1:12" x14ac:dyDescent="0.2">
      <c r="A642" s="327"/>
      <c r="B642" s="330"/>
      <c r="C642" s="339"/>
      <c r="D642" s="198"/>
      <c r="E642" s="191">
        <v>2017</v>
      </c>
      <c r="F642" s="79">
        <f t="shared" si="66"/>
        <v>40</v>
      </c>
      <c r="G642" s="14"/>
      <c r="H642" s="14"/>
      <c r="I642" s="14">
        <v>40</v>
      </c>
      <c r="J642" s="14"/>
      <c r="K642" s="204"/>
      <c r="L642" s="123"/>
    </row>
    <row r="643" spans="1:12" x14ac:dyDescent="0.2">
      <c r="A643" s="327"/>
      <c r="B643" s="330"/>
      <c r="C643" s="339"/>
      <c r="D643" s="198"/>
      <c r="E643" s="191">
        <v>2018</v>
      </c>
      <c r="F643" s="79">
        <f t="shared" si="66"/>
        <v>54</v>
      </c>
      <c r="G643" s="14"/>
      <c r="H643" s="14"/>
      <c r="I643" s="14">
        <v>54</v>
      </c>
      <c r="J643" s="14"/>
      <c r="K643" s="204"/>
      <c r="L643" s="123"/>
    </row>
    <row r="644" spans="1:12" x14ac:dyDescent="0.2">
      <c r="A644" s="327"/>
      <c r="B644" s="330"/>
      <c r="C644" s="339"/>
      <c r="D644" s="198"/>
      <c r="E644" s="191">
        <v>2019</v>
      </c>
      <c r="F644" s="79">
        <f t="shared" si="66"/>
        <v>56</v>
      </c>
      <c r="G644" s="14"/>
      <c r="H644" s="14"/>
      <c r="I644" s="14">
        <v>56</v>
      </c>
      <c r="J644" s="14"/>
      <c r="K644" s="204"/>
      <c r="L644" s="123"/>
    </row>
    <row r="645" spans="1:12" x14ac:dyDescent="0.2">
      <c r="A645" s="327"/>
      <c r="B645" s="330"/>
      <c r="C645" s="339"/>
      <c r="D645" s="198"/>
      <c r="E645" s="191">
        <v>2020</v>
      </c>
      <c r="F645" s="79">
        <f t="shared" si="66"/>
        <v>58</v>
      </c>
      <c r="G645" s="14"/>
      <c r="H645" s="14"/>
      <c r="I645" s="14">
        <v>58</v>
      </c>
      <c r="J645" s="14"/>
      <c r="K645" s="204"/>
      <c r="L645" s="130"/>
    </row>
    <row r="646" spans="1:12" ht="13.5" thickBot="1" x14ac:dyDescent="0.25">
      <c r="A646" s="327"/>
      <c r="B646" s="331"/>
      <c r="C646" s="339"/>
      <c r="D646" s="199"/>
      <c r="E646" s="24" t="s">
        <v>18</v>
      </c>
      <c r="F646" s="21">
        <f>SUM(F640:F645)</f>
        <v>298.60000000000002</v>
      </c>
      <c r="G646" s="13"/>
      <c r="H646" s="13"/>
      <c r="I646" s="13">
        <f>SUM(I640:I645)</f>
        <v>298.60000000000002</v>
      </c>
      <c r="J646" s="14"/>
      <c r="K646" s="204"/>
    </row>
    <row r="647" spans="1:12" x14ac:dyDescent="0.2">
      <c r="A647" s="326" t="s">
        <v>305</v>
      </c>
      <c r="B647" s="329" t="s">
        <v>101</v>
      </c>
      <c r="C647" s="338" t="s">
        <v>61</v>
      </c>
      <c r="D647" s="197" t="s">
        <v>218</v>
      </c>
      <c r="E647" s="191">
        <v>2015</v>
      </c>
      <c r="F647" s="79">
        <f t="shared" ref="F647:F652" si="67">SUM(G647:I647)</f>
        <v>5.0999999999999996</v>
      </c>
      <c r="G647" s="14"/>
      <c r="H647" s="14"/>
      <c r="I647" s="14">
        <v>5.0999999999999996</v>
      </c>
      <c r="J647" s="14"/>
      <c r="K647" s="204"/>
    </row>
    <row r="648" spans="1:12" x14ac:dyDescent="0.2">
      <c r="A648" s="327"/>
      <c r="B648" s="330"/>
      <c r="C648" s="339"/>
      <c r="D648" s="198"/>
      <c r="E648" s="191">
        <v>2016</v>
      </c>
      <c r="F648" s="79">
        <f t="shared" si="67"/>
        <v>5.3</v>
      </c>
      <c r="G648" s="14"/>
      <c r="H648" s="14"/>
      <c r="I648" s="14">
        <v>5.3</v>
      </c>
      <c r="J648" s="14"/>
      <c r="K648" s="204"/>
    </row>
    <row r="649" spans="1:12" x14ac:dyDescent="0.2">
      <c r="A649" s="327"/>
      <c r="B649" s="330"/>
      <c r="C649" s="339"/>
      <c r="D649" s="198"/>
      <c r="E649" s="191">
        <v>2017</v>
      </c>
      <c r="F649" s="79">
        <f t="shared" si="67"/>
        <v>5</v>
      </c>
      <c r="G649" s="14"/>
      <c r="H649" s="14"/>
      <c r="I649" s="14">
        <v>5</v>
      </c>
      <c r="J649" s="14"/>
      <c r="K649" s="204"/>
      <c r="L649" s="123"/>
    </row>
    <row r="650" spans="1:12" x14ac:dyDescent="0.2">
      <c r="A650" s="327"/>
      <c r="B650" s="330"/>
      <c r="C650" s="339"/>
      <c r="D650" s="198"/>
      <c r="E650" s="191">
        <v>2018</v>
      </c>
      <c r="F650" s="79">
        <f t="shared" si="67"/>
        <v>5.7</v>
      </c>
      <c r="G650" s="14"/>
      <c r="H650" s="14"/>
      <c r="I650" s="14">
        <v>5.7</v>
      </c>
      <c r="J650" s="14"/>
      <c r="K650" s="204"/>
      <c r="L650" s="130"/>
    </row>
    <row r="651" spans="1:12" x14ac:dyDescent="0.2">
      <c r="A651" s="327"/>
      <c r="B651" s="330"/>
      <c r="C651" s="339"/>
      <c r="D651" s="198"/>
      <c r="E651" s="191">
        <v>2019</v>
      </c>
      <c r="F651" s="79">
        <f t="shared" si="67"/>
        <v>5.9</v>
      </c>
      <c r="G651" s="14"/>
      <c r="H651" s="14"/>
      <c r="I651" s="14">
        <v>5.9</v>
      </c>
      <c r="J651" s="14"/>
      <c r="K651" s="204"/>
      <c r="L651" s="123"/>
    </row>
    <row r="652" spans="1:12" x14ac:dyDescent="0.2">
      <c r="A652" s="327"/>
      <c r="B652" s="330"/>
      <c r="C652" s="339"/>
      <c r="D652" s="198"/>
      <c r="E652" s="191">
        <v>2020</v>
      </c>
      <c r="F652" s="79">
        <f t="shared" si="67"/>
        <v>6.1</v>
      </c>
      <c r="G652" s="14"/>
      <c r="H652" s="14"/>
      <c r="I652" s="14">
        <v>6.1</v>
      </c>
      <c r="J652" s="14"/>
      <c r="K652" s="204"/>
    </row>
    <row r="653" spans="1:12" x14ac:dyDescent="0.2">
      <c r="A653" s="327"/>
      <c r="B653" s="330"/>
      <c r="C653" s="340"/>
      <c r="D653" s="199"/>
      <c r="E653" s="24" t="s">
        <v>18</v>
      </c>
      <c r="F653" s="21">
        <f>SUM(F647:F652)</f>
        <v>33.1</v>
      </c>
      <c r="G653" s="13"/>
      <c r="H653" s="13"/>
      <c r="I653" s="13">
        <f>SUM(I647:I652)</f>
        <v>33.1</v>
      </c>
      <c r="J653" s="14"/>
      <c r="K653" s="204"/>
    </row>
    <row r="654" spans="1:12" x14ac:dyDescent="0.2">
      <c r="A654" s="326" t="s">
        <v>306</v>
      </c>
      <c r="B654" s="200" t="s">
        <v>102</v>
      </c>
      <c r="C654" s="338" t="s">
        <v>61</v>
      </c>
      <c r="D654" s="197" t="s">
        <v>218</v>
      </c>
      <c r="E654" s="191">
        <v>2015</v>
      </c>
      <c r="F654" s="79">
        <f t="shared" ref="F654:F659" si="68">SUM(G654:I654)</f>
        <v>4.5</v>
      </c>
      <c r="G654" s="14"/>
      <c r="H654" s="14"/>
      <c r="I654" s="14">
        <v>4.5</v>
      </c>
      <c r="J654" s="14"/>
      <c r="K654" s="204"/>
    </row>
    <row r="655" spans="1:12" x14ac:dyDescent="0.2">
      <c r="A655" s="327"/>
      <c r="B655" s="201"/>
      <c r="C655" s="339"/>
      <c r="D655" s="198"/>
      <c r="E655" s="191">
        <v>2016</v>
      </c>
      <c r="F655" s="79">
        <f t="shared" si="68"/>
        <v>4.5999999999999996</v>
      </c>
      <c r="G655" s="14"/>
      <c r="H655" s="14"/>
      <c r="I655" s="14">
        <v>4.5999999999999996</v>
      </c>
      <c r="J655" s="14"/>
      <c r="K655" s="204"/>
    </row>
    <row r="656" spans="1:12" x14ac:dyDescent="0.2">
      <c r="A656" s="327"/>
      <c r="B656" s="201"/>
      <c r="C656" s="339"/>
      <c r="D656" s="198"/>
      <c r="E656" s="191">
        <v>2017</v>
      </c>
      <c r="F656" s="79">
        <f t="shared" si="68"/>
        <v>4</v>
      </c>
      <c r="G656" s="14"/>
      <c r="H656" s="14"/>
      <c r="I656" s="14">
        <v>4</v>
      </c>
      <c r="J656" s="14"/>
      <c r="K656" s="204"/>
      <c r="L656" s="130"/>
    </row>
    <row r="657" spans="1:19" x14ac:dyDescent="0.2">
      <c r="A657" s="327"/>
      <c r="B657" s="201"/>
      <c r="C657" s="339"/>
      <c r="D657" s="198"/>
      <c r="E657" s="191">
        <v>2018</v>
      </c>
      <c r="F657" s="79">
        <f t="shared" si="68"/>
        <v>4.8</v>
      </c>
      <c r="G657" s="14"/>
      <c r="H657" s="14"/>
      <c r="I657" s="14">
        <v>4.8</v>
      </c>
      <c r="J657" s="14"/>
      <c r="K657" s="204"/>
      <c r="L657" s="123"/>
    </row>
    <row r="658" spans="1:19" x14ac:dyDescent="0.2">
      <c r="A658" s="327"/>
      <c r="B658" s="201"/>
      <c r="C658" s="339"/>
      <c r="D658" s="198"/>
      <c r="E658" s="191">
        <v>2019</v>
      </c>
      <c r="F658" s="79">
        <f t="shared" si="68"/>
        <v>4.9000000000000004</v>
      </c>
      <c r="G658" s="14"/>
      <c r="H658" s="14"/>
      <c r="I658" s="14">
        <v>4.9000000000000004</v>
      </c>
      <c r="J658" s="14"/>
      <c r="K658" s="204"/>
      <c r="L658" s="123"/>
    </row>
    <row r="659" spans="1:19" x14ac:dyDescent="0.2">
      <c r="A659" s="327"/>
      <c r="B659" s="201"/>
      <c r="C659" s="339"/>
      <c r="D659" s="198"/>
      <c r="E659" s="191">
        <v>2020</v>
      </c>
      <c r="F659" s="79">
        <f t="shared" si="68"/>
        <v>5</v>
      </c>
      <c r="G659" s="14"/>
      <c r="H659" s="14"/>
      <c r="I659" s="14">
        <v>5</v>
      </c>
      <c r="J659" s="14"/>
      <c r="K659" s="204"/>
    </row>
    <row r="660" spans="1:19" x14ac:dyDescent="0.2">
      <c r="A660" s="327"/>
      <c r="B660" s="201"/>
      <c r="C660" s="339"/>
      <c r="D660" s="199"/>
      <c r="E660" s="24" t="s">
        <v>18</v>
      </c>
      <c r="F660" s="21">
        <f>SUM(F654:F659)</f>
        <v>27.799999999999997</v>
      </c>
      <c r="G660" s="13"/>
      <c r="H660" s="13"/>
      <c r="I660" s="13">
        <f>SUM(I654:I659)</f>
        <v>27.799999999999997</v>
      </c>
      <c r="J660" s="14"/>
      <c r="K660" s="205"/>
    </row>
    <row r="661" spans="1:19" x14ac:dyDescent="0.2">
      <c r="A661" s="326" t="s">
        <v>307</v>
      </c>
      <c r="B661" s="200" t="s">
        <v>0</v>
      </c>
      <c r="C661" s="338" t="s">
        <v>61</v>
      </c>
      <c r="D661" s="197" t="s">
        <v>218</v>
      </c>
      <c r="E661" s="191">
        <v>2015</v>
      </c>
      <c r="F661" s="80"/>
      <c r="G661" s="2"/>
      <c r="H661" s="2"/>
      <c r="I661" s="2"/>
      <c r="J661" s="2"/>
      <c r="K661" s="197" t="s">
        <v>183</v>
      </c>
    </row>
    <row r="662" spans="1:19" x14ac:dyDescent="0.2">
      <c r="A662" s="327"/>
      <c r="B662" s="201"/>
      <c r="C662" s="339"/>
      <c r="D662" s="198"/>
      <c r="E662" s="191">
        <v>2016</v>
      </c>
      <c r="F662" s="80"/>
      <c r="G662" s="2"/>
      <c r="H662" s="2"/>
      <c r="I662" s="2"/>
      <c r="J662" s="2"/>
      <c r="K662" s="204"/>
    </row>
    <row r="663" spans="1:19" x14ac:dyDescent="0.2">
      <c r="A663" s="327"/>
      <c r="B663" s="201"/>
      <c r="C663" s="339"/>
      <c r="D663" s="198"/>
      <c r="E663" s="191">
        <v>2017</v>
      </c>
      <c r="F663" s="80"/>
      <c r="G663" s="2"/>
      <c r="H663" s="2"/>
      <c r="I663" s="2"/>
      <c r="J663" s="2"/>
      <c r="K663" s="204"/>
    </row>
    <row r="664" spans="1:19" x14ac:dyDescent="0.2">
      <c r="A664" s="327"/>
      <c r="B664" s="201"/>
      <c r="C664" s="339"/>
      <c r="D664" s="198"/>
      <c r="E664" s="191">
        <v>2018</v>
      </c>
      <c r="F664" s="80"/>
      <c r="G664" s="2"/>
      <c r="H664" s="2"/>
      <c r="I664" s="2"/>
      <c r="J664" s="2"/>
      <c r="K664" s="204"/>
      <c r="L664" s="160"/>
      <c r="M664" s="152"/>
    </row>
    <row r="665" spans="1:19" x14ac:dyDescent="0.2">
      <c r="A665" s="327"/>
      <c r="B665" s="201"/>
      <c r="C665" s="339"/>
      <c r="D665" s="198"/>
      <c r="E665" s="191">
        <v>2019</v>
      </c>
      <c r="F665" s="80"/>
      <c r="G665" s="2"/>
      <c r="H665" s="2"/>
      <c r="I665" s="2"/>
      <c r="J665" s="2"/>
      <c r="K665" s="204"/>
    </row>
    <row r="666" spans="1:19" x14ac:dyDescent="0.2">
      <c r="A666" s="327"/>
      <c r="B666" s="201"/>
      <c r="C666" s="339"/>
      <c r="D666" s="198"/>
      <c r="E666" s="191">
        <v>2020</v>
      </c>
      <c r="F666" s="80"/>
      <c r="G666" s="2"/>
      <c r="H666" s="2"/>
      <c r="I666" s="2"/>
      <c r="J666" s="2"/>
      <c r="K666" s="204"/>
    </row>
    <row r="667" spans="1:19" x14ac:dyDescent="0.2">
      <c r="A667" s="337"/>
      <c r="B667" s="201"/>
      <c r="C667" s="339"/>
      <c r="D667" s="199"/>
      <c r="E667" s="24" t="s">
        <v>18</v>
      </c>
      <c r="F667" s="80"/>
      <c r="G667" s="2"/>
      <c r="H667" s="2"/>
      <c r="I667" s="2"/>
      <c r="J667" s="2"/>
      <c r="K667" s="205"/>
      <c r="P667" s="123" t="s">
        <v>336</v>
      </c>
    </row>
    <row r="668" spans="1:19" ht="15" customHeight="1" thickBot="1" x14ac:dyDescent="0.25">
      <c r="A668" s="328" t="s">
        <v>199</v>
      </c>
      <c r="B668" s="323"/>
      <c r="C668" s="323"/>
      <c r="D668" s="323"/>
      <c r="E668" s="61" t="s">
        <v>61</v>
      </c>
      <c r="F668" s="20">
        <f>SUM(G668:I668)</f>
        <v>2799.8</v>
      </c>
      <c r="G668" s="20"/>
      <c r="H668" s="20">
        <f>H660+H653+H646+H639+H632+H625+H667</f>
        <v>0</v>
      </c>
      <c r="I668" s="20">
        <f>I660+I653+I646+I639+I632+I625+I667</f>
        <v>2799.8</v>
      </c>
      <c r="J668" s="18"/>
      <c r="K668" s="91"/>
      <c r="L668" s="123" t="s">
        <v>334</v>
      </c>
      <c r="N668" s="123" t="s">
        <v>331</v>
      </c>
      <c r="P668" s="123" t="s">
        <v>332</v>
      </c>
      <c r="Q668" s="123" t="s">
        <v>333</v>
      </c>
      <c r="S668" s="123" t="s">
        <v>335</v>
      </c>
    </row>
    <row r="669" spans="1:19" ht="14.25" customHeight="1" thickBot="1" x14ac:dyDescent="0.25">
      <c r="A669" s="208" t="s">
        <v>347</v>
      </c>
      <c r="B669" s="209"/>
      <c r="C669" s="209"/>
      <c r="D669" s="209"/>
      <c r="E669" s="209"/>
      <c r="F669" s="209"/>
      <c r="G669" s="209"/>
      <c r="H669" s="209"/>
      <c r="I669" s="209"/>
      <c r="J669" s="209"/>
      <c r="K669" s="210"/>
      <c r="L669" s="123"/>
      <c r="N669" s="123"/>
      <c r="P669" s="123"/>
      <c r="Q669" s="123"/>
      <c r="S669" s="123"/>
    </row>
    <row r="670" spans="1:19" ht="19.5" customHeight="1" x14ac:dyDescent="0.2">
      <c r="A670" s="212" t="s">
        <v>156</v>
      </c>
      <c r="B670" s="211" t="s">
        <v>400</v>
      </c>
      <c r="C670" s="338" t="s">
        <v>313</v>
      </c>
      <c r="D670" s="197" t="s">
        <v>218</v>
      </c>
      <c r="E670" s="191">
        <v>2017</v>
      </c>
      <c r="F670" s="170">
        <f>G670+H670+I670+J670</f>
        <v>240.5</v>
      </c>
      <c r="G670" s="20"/>
      <c r="H670" s="20"/>
      <c r="I670" s="170">
        <v>240.5</v>
      </c>
      <c r="J670" s="18"/>
      <c r="K670" s="349" t="s">
        <v>155</v>
      </c>
      <c r="L670" s="130"/>
      <c r="N670" s="123"/>
      <c r="P670" s="123"/>
      <c r="Q670" s="123"/>
      <c r="S670" s="123"/>
    </row>
    <row r="671" spans="1:19" ht="24.75" customHeight="1" x14ac:dyDescent="0.2">
      <c r="A671" s="213"/>
      <c r="B671" s="200"/>
      <c r="C671" s="339"/>
      <c r="D671" s="198"/>
      <c r="E671" s="191">
        <v>2018</v>
      </c>
      <c r="F671" s="20"/>
      <c r="G671" s="20"/>
      <c r="H671" s="20"/>
      <c r="I671" s="20"/>
      <c r="J671" s="18"/>
      <c r="K671" s="350"/>
      <c r="L671" s="123"/>
      <c r="N671" s="123"/>
      <c r="P671" s="123"/>
      <c r="Q671" s="123"/>
      <c r="S671" s="123"/>
    </row>
    <row r="672" spans="1:19" ht="21.75" customHeight="1" x14ac:dyDescent="0.2">
      <c r="A672" s="213"/>
      <c r="B672" s="200"/>
      <c r="C672" s="339"/>
      <c r="D672" s="198"/>
      <c r="E672" s="191">
        <v>2019</v>
      </c>
      <c r="F672" s="20"/>
      <c r="G672" s="20"/>
      <c r="H672" s="20"/>
      <c r="I672" s="20"/>
      <c r="J672" s="18"/>
      <c r="K672" s="350"/>
      <c r="L672" s="123"/>
      <c r="N672" s="123"/>
      <c r="P672" s="123"/>
      <c r="Q672" s="123"/>
      <c r="S672" s="123"/>
    </row>
    <row r="673" spans="1:35" ht="24.75" customHeight="1" x14ac:dyDescent="0.2">
      <c r="A673" s="213"/>
      <c r="B673" s="200"/>
      <c r="C673" s="339"/>
      <c r="D673" s="198"/>
      <c r="E673" s="191">
        <v>2020</v>
      </c>
      <c r="F673" s="20"/>
      <c r="G673" s="20"/>
      <c r="H673" s="20"/>
      <c r="I673" s="20"/>
      <c r="J673" s="18"/>
      <c r="K673" s="350"/>
      <c r="L673" s="123"/>
      <c r="N673" s="123"/>
      <c r="P673" s="123"/>
      <c r="Q673" s="123"/>
      <c r="S673" s="123"/>
    </row>
    <row r="674" spans="1:35" ht="21.75" customHeight="1" x14ac:dyDescent="0.2">
      <c r="A674" s="213"/>
      <c r="B674" s="200"/>
      <c r="C674" s="339"/>
      <c r="D674" s="198"/>
      <c r="E674" s="215" t="s">
        <v>18</v>
      </c>
      <c r="F674" s="218">
        <f>F670+F671+F672+F673</f>
        <v>240.5</v>
      </c>
      <c r="G674" s="221"/>
      <c r="H674" s="221"/>
      <c r="I674" s="218">
        <f>I670+I671+I672+I673</f>
        <v>240.5</v>
      </c>
      <c r="J674" s="221"/>
      <c r="K674" s="350"/>
      <c r="L674" s="123"/>
      <c r="N674" s="123"/>
      <c r="P674" s="123"/>
      <c r="Q674" s="123"/>
      <c r="S674" s="123"/>
    </row>
    <row r="675" spans="1:35" ht="6.75" customHeight="1" x14ac:dyDescent="0.2">
      <c r="A675" s="213"/>
      <c r="B675" s="200"/>
      <c r="C675" s="339"/>
      <c r="D675" s="198"/>
      <c r="E675" s="216"/>
      <c r="F675" s="219"/>
      <c r="G675" s="222"/>
      <c r="H675" s="222"/>
      <c r="I675" s="219"/>
      <c r="J675" s="222"/>
      <c r="K675" s="350"/>
      <c r="L675" s="123"/>
      <c r="N675" s="123"/>
      <c r="P675" s="123"/>
      <c r="Q675" s="123"/>
      <c r="S675" s="123"/>
    </row>
    <row r="676" spans="1:35" ht="13.5" hidden="1" customHeight="1" x14ac:dyDescent="0.2">
      <c r="A676" s="214"/>
      <c r="B676" s="200"/>
      <c r="C676" s="339"/>
      <c r="D676" s="199"/>
      <c r="E676" s="217"/>
      <c r="F676" s="220"/>
      <c r="G676" s="223"/>
      <c r="H676" s="223"/>
      <c r="I676" s="220"/>
      <c r="J676" s="223"/>
      <c r="K676" s="351"/>
      <c r="L676" s="123"/>
      <c r="N676" s="123"/>
      <c r="P676" s="123"/>
      <c r="Q676" s="123"/>
      <c r="S676" s="123"/>
    </row>
    <row r="677" spans="1:35" ht="25.5" x14ac:dyDescent="0.2">
      <c r="A677" s="346" t="s">
        <v>221</v>
      </c>
      <c r="B677" s="347"/>
      <c r="C677" s="347"/>
      <c r="D677" s="348"/>
      <c r="E677" s="162" t="s">
        <v>61</v>
      </c>
      <c r="F677" s="163">
        <f>F674</f>
        <v>240.5</v>
      </c>
      <c r="G677" s="163"/>
      <c r="H677" s="163">
        <f>H674</f>
        <v>0</v>
      </c>
      <c r="I677" s="163">
        <f>I674</f>
        <v>240.5</v>
      </c>
      <c r="J677" s="18"/>
      <c r="K677" s="91"/>
      <c r="L677" s="151"/>
      <c r="M677" s="152"/>
      <c r="N677" s="123"/>
      <c r="P677" s="123"/>
      <c r="Q677" s="123"/>
      <c r="S677" s="123"/>
    </row>
    <row r="678" spans="1:35" ht="47.25" x14ac:dyDescent="0.25">
      <c r="A678" s="363" t="s">
        <v>212</v>
      </c>
      <c r="B678" s="293"/>
      <c r="C678" s="293"/>
      <c r="D678" s="294"/>
      <c r="E678" s="102" t="s">
        <v>61</v>
      </c>
      <c r="F678" s="102" t="s">
        <v>18</v>
      </c>
      <c r="G678" s="103" t="s">
        <v>10</v>
      </c>
      <c r="H678" s="179" t="s">
        <v>11</v>
      </c>
      <c r="I678" s="179" t="s">
        <v>12</v>
      </c>
      <c r="J678" s="179" t="s">
        <v>13</v>
      </c>
      <c r="K678" s="58"/>
      <c r="M678" s="142"/>
      <c r="N678" s="132"/>
      <c r="O678" s="142"/>
    </row>
    <row r="679" spans="1:35" ht="16.5" thickBot="1" x14ac:dyDescent="0.3">
      <c r="A679" s="183"/>
      <c r="B679" s="185"/>
      <c r="C679" s="185"/>
      <c r="D679" s="185"/>
      <c r="E679" s="104"/>
      <c r="F679" s="172">
        <f>SUM(G679:J679)</f>
        <v>71708.800000000003</v>
      </c>
      <c r="G679" s="172"/>
      <c r="H679" s="173">
        <f>H668+H616+H599+H582+H551+H677</f>
        <v>64854.7</v>
      </c>
      <c r="I679" s="173">
        <f>I668+I616+I599+I582+I551+I677</f>
        <v>6854.1</v>
      </c>
      <c r="J679" s="174"/>
      <c r="K679" s="58"/>
      <c r="L679" s="158"/>
      <c r="M679" s="159"/>
      <c r="N679" s="34"/>
      <c r="O679" s="34"/>
      <c r="P679" s="34"/>
      <c r="Q679" s="34"/>
      <c r="R679" s="34"/>
      <c r="S679" s="34"/>
      <c r="T679" s="34"/>
      <c r="U679" s="34"/>
      <c r="V679" s="34"/>
    </row>
    <row r="680" spans="1:35" ht="18" x14ac:dyDescent="0.2">
      <c r="A680" s="281" t="s">
        <v>230</v>
      </c>
      <c r="B680" s="282"/>
      <c r="C680" s="282"/>
      <c r="D680" s="282"/>
      <c r="E680" s="282"/>
      <c r="F680" s="282"/>
      <c r="G680" s="282"/>
      <c r="H680" s="282"/>
      <c r="I680" s="282"/>
      <c r="J680" s="282"/>
      <c r="K680" s="282"/>
      <c r="L680" s="47"/>
      <c r="M680" s="47"/>
      <c r="N680" s="47"/>
      <c r="O680" s="47"/>
      <c r="P680" s="47"/>
      <c r="Q680" s="47"/>
      <c r="R680" s="47"/>
      <c r="S680" s="47"/>
      <c r="T680" s="47"/>
      <c r="U680" s="47"/>
      <c r="V680" s="47"/>
      <c r="W680" s="45"/>
      <c r="X680" s="45"/>
      <c r="Y680" s="45"/>
      <c r="Z680" s="45"/>
      <c r="AA680" s="45"/>
      <c r="AB680" s="45"/>
      <c r="AC680" s="45"/>
      <c r="AD680" s="45"/>
      <c r="AE680" s="45"/>
      <c r="AF680" s="45"/>
      <c r="AG680" s="45"/>
      <c r="AH680" s="45"/>
      <c r="AI680" s="46"/>
    </row>
    <row r="681" spans="1:35" ht="16.5" thickBot="1" x14ac:dyDescent="0.25">
      <c r="A681" s="355" t="s">
        <v>213</v>
      </c>
      <c r="B681" s="356"/>
      <c r="C681" s="356"/>
      <c r="D681" s="356"/>
      <c r="E681" s="296"/>
      <c r="F681" s="296"/>
      <c r="G681" s="296"/>
      <c r="H681" s="296"/>
      <c r="I681" s="296"/>
      <c r="J681" s="296"/>
      <c r="K681" s="296"/>
      <c r="L681" s="64"/>
      <c r="M681" s="64"/>
      <c r="N681" s="64"/>
      <c r="O681" s="64"/>
      <c r="P681" s="64"/>
      <c r="Q681" s="64"/>
      <c r="R681" s="64"/>
      <c r="S681" s="64"/>
      <c r="T681" s="64"/>
      <c r="U681" s="64"/>
      <c r="V681" s="64"/>
      <c r="W681" s="92"/>
      <c r="X681" s="92"/>
      <c r="Y681" s="92"/>
      <c r="Z681" s="92"/>
      <c r="AA681" s="92"/>
      <c r="AB681" s="92"/>
      <c r="AC681" s="92"/>
      <c r="AD681" s="92"/>
      <c r="AE681" s="92"/>
      <c r="AF681" s="92"/>
      <c r="AG681" s="92"/>
      <c r="AH681" s="92"/>
      <c r="AI681" s="93"/>
    </row>
    <row r="682" spans="1:35" x14ac:dyDescent="0.2">
      <c r="A682" s="342" t="s">
        <v>103</v>
      </c>
      <c r="B682" s="358" t="s">
        <v>104</v>
      </c>
      <c r="C682" s="202" t="s">
        <v>61</v>
      </c>
      <c r="D682" s="197" t="s">
        <v>218</v>
      </c>
      <c r="E682" s="191">
        <v>2015</v>
      </c>
      <c r="F682" s="94">
        <f t="shared" ref="F682:F687" si="69">SUM(G682:J682)</f>
        <v>4484.7</v>
      </c>
      <c r="G682" s="14"/>
      <c r="H682" s="14"/>
      <c r="I682" s="14">
        <v>4092.2</v>
      </c>
      <c r="J682" s="14">
        <v>392.5</v>
      </c>
      <c r="K682" s="197" t="s">
        <v>180</v>
      </c>
      <c r="L682" s="34"/>
      <c r="M682" s="34"/>
      <c r="N682" s="34"/>
      <c r="O682" s="34"/>
      <c r="P682" s="34"/>
      <c r="Q682" s="34"/>
      <c r="R682" s="34"/>
      <c r="S682" s="34"/>
      <c r="T682" s="34"/>
      <c r="U682" s="34"/>
      <c r="V682" s="34"/>
    </row>
    <row r="683" spans="1:35" x14ac:dyDescent="0.2">
      <c r="A683" s="343"/>
      <c r="B683" s="359"/>
      <c r="C683" s="203"/>
      <c r="D683" s="198"/>
      <c r="E683" s="191">
        <v>2016</v>
      </c>
      <c r="F683" s="94">
        <f t="shared" si="69"/>
        <v>4690</v>
      </c>
      <c r="G683" s="14"/>
      <c r="H683" s="14"/>
      <c r="I683" s="14">
        <f>3801.5+222.3-0.4</f>
        <v>4023.4</v>
      </c>
      <c r="J683" s="14">
        <f>58.3+608.3</f>
        <v>666.59999999999991</v>
      </c>
      <c r="K683" s="204"/>
      <c r="L683" s="34"/>
      <c r="M683" s="34"/>
      <c r="N683" s="34"/>
      <c r="O683" s="34"/>
      <c r="P683" s="34"/>
      <c r="Q683" s="34"/>
      <c r="R683" s="34"/>
      <c r="S683" s="34"/>
      <c r="T683" s="34"/>
      <c r="U683" s="34"/>
      <c r="V683" s="34"/>
    </row>
    <row r="684" spans="1:35" x14ac:dyDescent="0.2">
      <c r="A684" s="343"/>
      <c r="B684" s="359"/>
      <c r="C684" s="203"/>
      <c r="D684" s="198"/>
      <c r="E684" s="191">
        <v>2017</v>
      </c>
      <c r="F684" s="94">
        <f t="shared" si="69"/>
        <v>5150.5</v>
      </c>
      <c r="G684" s="14"/>
      <c r="H684" s="14"/>
      <c r="I684" s="14">
        <v>4386.7</v>
      </c>
      <c r="J684" s="14">
        <f>692.8+71</f>
        <v>763.8</v>
      </c>
      <c r="K684" s="204"/>
      <c r="L684" s="123" t="s">
        <v>387</v>
      </c>
      <c r="M684" s="150" t="s">
        <v>385</v>
      </c>
      <c r="N684" s="165" t="s">
        <v>386</v>
      </c>
      <c r="O684" s="164" t="s">
        <v>388</v>
      </c>
    </row>
    <row r="685" spans="1:35" x14ac:dyDescent="0.2">
      <c r="A685" s="343"/>
      <c r="B685" s="359"/>
      <c r="C685" s="203"/>
      <c r="D685" s="198"/>
      <c r="E685" s="191">
        <v>2018</v>
      </c>
      <c r="F685" s="94">
        <f t="shared" si="69"/>
        <v>327</v>
      </c>
      <c r="G685" s="14"/>
      <c r="H685" s="14"/>
      <c r="I685" s="14">
        <v>262.7</v>
      </c>
      <c r="J685" s="14">
        <v>64.3</v>
      </c>
      <c r="K685" s="204"/>
      <c r="L685" s="123"/>
    </row>
    <row r="686" spans="1:35" x14ac:dyDescent="0.2">
      <c r="A686" s="343"/>
      <c r="B686" s="359"/>
      <c r="C686" s="203"/>
      <c r="D686" s="198"/>
      <c r="E686" s="191">
        <v>2019</v>
      </c>
      <c r="F686" s="94">
        <f t="shared" si="69"/>
        <v>343.3</v>
      </c>
      <c r="G686" s="14"/>
      <c r="H686" s="14"/>
      <c r="I686" s="14">
        <v>275.8</v>
      </c>
      <c r="J686" s="14">
        <v>67.5</v>
      </c>
      <c r="K686" s="204"/>
      <c r="L686" s="123"/>
    </row>
    <row r="687" spans="1:35" x14ac:dyDescent="0.2">
      <c r="A687" s="343"/>
      <c r="B687" s="359"/>
      <c r="C687" s="203"/>
      <c r="D687" s="198"/>
      <c r="E687" s="191">
        <v>2020</v>
      </c>
      <c r="F687" s="94">
        <f t="shared" si="69"/>
        <v>360.5</v>
      </c>
      <c r="G687" s="14"/>
      <c r="H687" s="14"/>
      <c r="I687" s="14">
        <v>289.60000000000002</v>
      </c>
      <c r="J687" s="14">
        <v>70.900000000000006</v>
      </c>
      <c r="K687" s="204"/>
    </row>
    <row r="688" spans="1:35" x14ac:dyDescent="0.2">
      <c r="A688" s="357"/>
      <c r="B688" s="360"/>
      <c r="C688" s="269"/>
      <c r="D688" s="198"/>
      <c r="E688" s="24" t="s">
        <v>18</v>
      </c>
      <c r="F688" s="20">
        <f>SUM(F682:F687)</f>
        <v>15356</v>
      </c>
      <c r="G688" s="20">
        <f>SUM(G682:G687)</f>
        <v>0</v>
      </c>
      <c r="H688" s="20">
        <f>SUM(H682:H687)</f>
        <v>0</v>
      </c>
      <c r="I688" s="20">
        <f>SUM(I682:I687)</f>
        <v>13330.4</v>
      </c>
      <c r="J688" s="20">
        <f>SUM(J682:J687)</f>
        <v>2025.6</v>
      </c>
      <c r="K688" s="204"/>
    </row>
    <row r="689" spans="1:15" x14ac:dyDescent="0.2">
      <c r="A689" s="361" t="s">
        <v>105</v>
      </c>
      <c r="B689" s="261" t="s">
        <v>106</v>
      </c>
      <c r="C689" s="202" t="s">
        <v>61</v>
      </c>
      <c r="D689" s="338" t="s">
        <v>218</v>
      </c>
      <c r="E689" s="191">
        <v>2015</v>
      </c>
      <c r="F689" s="94">
        <f t="shared" ref="F689:F694" si="70">SUM(G689:J689)</f>
        <v>448.20000000000005</v>
      </c>
      <c r="G689" s="14"/>
      <c r="H689" s="14"/>
      <c r="I689" s="14">
        <v>251.4</v>
      </c>
      <c r="J689" s="14">
        <v>196.8</v>
      </c>
      <c r="K689" s="204"/>
    </row>
    <row r="690" spans="1:15" x14ac:dyDescent="0.2">
      <c r="A690" s="362"/>
      <c r="B690" s="262"/>
      <c r="C690" s="203"/>
      <c r="D690" s="203"/>
      <c r="E690" s="191">
        <v>2016</v>
      </c>
      <c r="F690" s="94">
        <f t="shared" si="70"/>
        <v>478.19999999999993</v>
      </c>
      <c r="G690" s="14"/>
      <c r="H690" s="14"/>
      <c r="I690" s="14">
        <f>414.2-142.9</f>
        <v>271.29999999999995</v>
      </c>
      <c r="J690" s="14">
        <f>206.6+0.3</f>
        <v>206.9</v>
      </c>
      <c r="K690" s="204"/>
    </row>
    <row r="691" spans="1:15" x14ac:dyDescent="0.2">
      <c r="A691" s="362"/>
      <c r="B691" s="262"/>
      <c r="C691" s="203"/>
      <c r="D691" s="203"/>
      <c r="E691" s="191">
        <v>2017</v>
      </c>
      <c r="F691" s="94">
        <f t="shared" si="70"/>
        <v>485</v>
      </c>
      <c r="G691" s="14"/>
      <c r="H691" s="14"/>
      <c r="I691" s="14">
        <v>355.7</v>
      </c>
      <c r="J691" s="14">
        <f>110.1+19.2</f>
        <v>129.29999999999998</v>
      </c>
      <c r="K691" s="204"/>
      <c r="L691" s="123" t="s">
        <v>392</v>
      </c>
      <c r="M691" s="150" t="s">
        <v>389</v>
      </c>
      <c r="N691" s="165" t="s">
        <v>390</v>
      </c>
      <c r="O691" s="164" t="s">
        <v>391</v>
      </c>
    </row>
    <row r="692" spans="1:15" x14ac:dyDescent="0.2">
      <c r="A692" s="362"/>
      <c r="B692" s="262"/>
      <c r="C692" s="203"/>
      <c r="D692" s="203"/>
      <c r="E692" s="191">
        <v>2018</v>
      </c>
      <c r="F692" s="94">
        <f t="shared" si="70"/>
        <v>706.2</v>
      </c>
      <c r="G692" s="14"/>
      <c r="H692" s="14"/>
      <c r="I692" s="14">
        <v>478.5</v>
      </c>
      <c r="J692" s="14">
        <v>227.7</v>
      </c>
      <c r="K692" s="204"/>
      <c r="L692" s="123"/>
    </row>
    <row r="693" spans="1:15" x14ac:dyDescent="0.2">
      <c r="A693" s="362"/>
      <c r="B693" s="262"/>
      <c r="C693" s="203"/>
      <c r="D693" s="203"/>
      <c r="E693" s="191">
        <v>2019</v>
      </c>
      <c r="F693" s="94">
        <f t="shared" si="70"/>
        <v>741.5</v>
      </c>
      <c r="G693" s="14"/>
      <c r="H693" s="14"/>
      <c r="I693" s="14">
        <v>502.4</v>
      </c>
      <c r="J693" s="14">
        <v>239.1</v>
      </c>
      <c r="K693" s="204"/>
      <c r="L693" s="123"/>
    </row>
    <row r="694" spans="1:15" x14ac:dyDescent="0.2">
      <c r="A694" s="362"/>
      <c r="B694" s="262"/>
      <c r="C694" s="203"/>
      <c r="D694" s="203"/>
      <c r="E694" s="191">
        <v>2020</v>
      </c>
      <c r="F694" s="94">
        <f t="shared" si="70"/>
        <v>778.5</v>
      </c>
      <c r="G694" s="14"/>
      <c r="H694" s="14"/>
      <c r="I694" s="14">
        <v>527.5</v>
      </c>
      <c r="J694" s="14">
        <v>251</v>
      </c>
      <c r="K694" s="204"/>
    </row>
    <row r="695" spans="1:15" x14ac:dyDescent="0.2">
      <c r="A695" s="362"/>
      <c r="B695" s="262"/>
      <c r="C695" s="203"/>
      <c r="D695" s="203"/>
      <c r="E695" s="24" t="s">
        <v>18</v>
      </c>
      <c r="F695" s="20">
        <f>SUM(F689:F694)</f>
        <v>3637.6000000000004</v>
      </c>
      <c r="G695" s="20">
        <f>SUM(G689:G694)</f>
        <v>0</v>
      </c>
      <c r="H695" s="20">
        <f>SUM(H689:H694)</f>
        <v>0</v>
      </c>
      <c r="I695" s="20">
        <f>SUM(I689:I694)</f>
        <v>2386.7999999999997</v>
      </c>
      <c r="J695" s="20">
        <f>SUM(J689:J694)</f>
        <v>1250.8000000000002</v>
      </c>
      <c r="K695" s="204"/>
    </row>
    <row r="696" spans="1:15" x14ac:dyDescent="0.2">
      <c r="A696" s="361" t="s">
        <v>107</v>
      </c>
      <c r="B696" s="261" t="s">
        <v>276</v>
      </c>
      <c r="C696" s="202" t="s">
        <v>61</v>
      </c>
      <c r="D696" s="338" t="s">
        <v>218</v>
      </c>
      <c r="E696" s="191">
        <v>2015</v>
      </c>
      <c r="F696" s="94">
        <f t="shared" ref="F696:F701" si="71">SUM(G696:J696)</f>
        <v>402.69999999999993</v>
      </c>
      <c r="G696" s="14"/>
      <c r="H696" s="14"/>
      <c r="I696" s="14">
        <f>344.4+6.9</f>
        <v>351.29999999999995</v>
      </c>
      <c r="J696" s="14">
        <v>51.4</v>
      </c>
      <c r="K696" s="204"/>
    </row>
    <row r="697" spans="1:15" x14ac:dyDescent="0.2">
      <c r="A697" s="362"/>
      <c r="B697" s="261"/>
      <c r="C697" s="203"/>
      <c r="D697" s="203"/>
      <c r="E697" s="191">
        <v>2016</v>
      </c>
      <c r="F697" s="94">
        <f t="shared" si="71"/>
        <v>681.2</v>
      </c>
      <c r="G697" s="14"/>
      <c r="H697" s="14"/>
      <c r="I697" s="14">
        <f>363.3+262.6</f>
        <v>625.90000000000009</v>
      </c>
      <c r="J697" s="14">
        <f>54+1.3</f>
        <v>55.3</v>
      </c>
      <c r="K697" s="204"/>
    </row>
    <row r="698" spans="1:15" x14ac:dyDescent="0.2">
      <c r="A698" s="362"/>
      <c r="B698" s="261"/>
      <c r="C698" s="203"/>
      <c r="D698" s="203"/>
      <c r="E698" s="191">
        <v>2017</v>
      </c>
      <c r="F698" s="94">
        <f t="shared" si="71"/>
        <v>877.6</v>
      </c>
      <c r="G698" s="14"/>
      <c r="H698" s="14"/>
      <c r="I698" s="14">
        <v>678.1</v>
      </c>
      <c r="J698" s="14">
        <f>169.8+29.7</f>
        <v>199.5</v>
      </c>
      <c r="K698" s="204"/>
      <c r="L698" s="123" t="s">
        <v>396</v>
      </c>
      <c r="M698" s="150" t="s">
        <v>393</v>
      </c>
      <c r="N698" s="165" t="s">
        <v>394</v>
      </c>
      <c r="O698" s="164" t="s">
        <v>395</v>
      </c>
    </row>
    <row r="699" spans="1:15" x14ac:dyDescent="0.2">
      <c r="A699" s="362"/>
      <c r="B699" s="261"/>
      <c r="C699" s="203"/>
      <c r="D699" s="203"/>
      <c r="E699" s="191">
        <v>2018</v>
      </c>
      <c r="F699" s="94">
        <f t="shared" si="71"/>
        <v>453</v>
      </c>
      <c r="G699" s="14"/>
      <c r="H699" s="14"/>
      <c r="I699" s="14">
        <v>393.5</v>
      </c>
      <c r="J699" s="14">
        <v>59.5</v>
      </c>
      <c r="K699" s="204"/>
      <c r="L699" s="123"/>
    </row>
    <row r="700" spans="1:15" x14ac:dyDescent="0.2">
      <c r="A700" s="362"/>
      <c r="B700" s="261"/>
      <c r="C700" s="203"/>
      <c r="D700" s="203"/>
      <c r="E700" s="191">
        <v>2019</v>
      </c>
      <c r="F700" s="94">
        <f t="shared" si="71"/>
        <v>475.7</v>
      </c>
      <c r="G700" s="14"/>
      <c r="H700" s="14"/>
      <c r="I700" s="14">
        <v>413.2</v>
      </c>
      <c r="J700" s="14">
        <v>62.5</v>
      </c>
      <c r="K700" s="204"/>
      <c r="L700" s="123"/>
    </row>
    <row r="701" spans="1:15" x14ac:dyDescent="0.2">
      <c r="A701" s="362"/>
      <c r="B701" s="261"/>
      <c r="C701" s="203"/>
      <c r="D701" s="203"/>
      <c r="E701" s="191">
        <v>2020</v>
      </c>
      <c r="F701" s="94">
        <f t="shared" si="71"/>
        <v>492.7</v>
      </c>
      <c r="G701" s="14"/>
      <c r="H701" s="14"/>
      <c r="I701" s="14">
        <f>433.9-6.9</f>
        <v>427</v>
      </c>
      <c r="J701" s="14">
        <v>65.7</v>
      </c>
      <c r="K701" s="204"/>
    </row>
    <row r="702" spans="1:15" x14ac:dyDescent="0.2">
      <c r="A702" s="362"/>
      <c r="B702" s="261"/>
      <c r="C702" s="203"/>
      <c r="D702" s="203"/>
      <c r="E702" s="24" t="s">
        <v>18</v>
      </c>
      <c r="F702" s="20">
        <f>SUM(F696:F701)</f>
        <v>3382.8999999999996</v>
      </c>
      <c r="G702" s="20">
        <f>SUM(G696:G701)</f>
        <v>0</v>
      </c>
      <c r="H702" s="20">
        <f>SUM(H696:H701)</f>
        <v>0</v>
      </c>
      <c r="I702" s="20">
        <f>SUM(I696:I701)</f>
        <v>2889</v>
      </c>
      <c r="J702" s="20">
        <f>SUM(J696:J701)</f>
        <v>493.9</v>
      </c>
      <c r="K702" s="204"/>
    </row>
    <row r="703" spans="1:15" x14ac:dyDescent="0.2">
      <c r="A703" s="361" t="s">
        <v>108</v>
      </c>
      <c r="B703" s="200" t="s">
        <v>109</v>
      </c>
      <c r="C703" s="202" t="s">
        <v>61</v>
      </c>
      <c r="D703" s="338" t="s">
        <v>218</v>
      </c>
      <c r="E703" s="191">
        <v>2015</v>
      </c>
      <c r="F703" s="94">
        <f t="shared" ref="F703:F708" si="72">SUM(G703:J703)</f>
        <v>2265.3000000000002</v>
      </c>
      <c r="G703" s="14"/>
      <c r="H703" s="14"/>
      <c r="I703" s="14">
        <v>2265.3000000000002</v>
      </c>
      <c r="J703" s="14"/>
      <c r="K703" s="204"/>
    </row>
    <row r="704" spans="1:15" x14ac:dyDescent="0.2">
      <c r="A704" s="362"/>
      <c r="B704" s="201"/>
      <c r="C704" s="203"/>
      <c r="D704" s="203"/>
      <c r="E704" s="191">
        <v>2016</v>
      </c>
      <c r="F704" s="94">
        <f t="shared" si="72"/>
        <v>2244.6999999999998</v>
      </c>
      <c r="G704" s="14"/>
      <c r="H704" s="14"/>
      <c r="I704" s="14">
        <f>2295.7-51</f>
        <v>2244.6999999999998</v>
      </c>
      <c r="J704" s="14"/>
      <c r="K704" s="204"/>
    </row>
    <row r="705" spans="1:14" x14ac:dyDescent="0.2">
      <c r="A705" s="362"/>
      <c r="B705" s="201"/>
      <c r="C705" s="203"/>
      <c r="D705" s="203"/>
      <c r="E705" s="191">
        <v>2017</v>
      </c>
      <c r="F705" s="94">
        <f t="shared" si="72"/>
        <v>2244.8000000000002</v>
      </c>
      <c r="G705" s="14"/>
      <c r="H705" s="14"/>
      <c r="I705" s="14">
        <v>2244.8000000000002</v>
      </c>
      <c r="J705" s="14"/>
      <c r="K705" s="204"/>
      <c r="L705" s="123"/>
      <c r="N705" s="130"/>
    </row>
    <row r="706" spans="1:14" x14ac:dyDescent="0.2">
      <c r="A706" s="362"/>
      <c r="B706" s="201"/>
      <c r="C706" s="203"/>
      <c r="D706" s="203"/>
      <c r="E706" s="191">
        <v>2018</v>
      </c>
      <c r="F706" s="94">
        <f t="shared" si="72"/>
        <v>2703.3</v>
      </c>
      <c r="G706" s="14"/>
      <c r="H706" s="14"/>
      <c r="I706" s="14">
        <v>2703.3</v>
      </c>
      <c r="J706" s="14"/>
      <c r="K706" s="204"/>
      <c r="L706" s="123"/>
    </row>
    <row r="707" spans="1:14" x14ac:dyDescent="0.2">
      <c r="A707" s="362"/>
      <c r="B707" s="201"/>
      <c r="C707" s="203"/>
      <c r="D707" s="203"/>
      <c r="E707" s="191">
        <v>2019</v>
      </c>
      <c r="F707" s="94">
        <f t="shared" si="72"/>
        <v>2841.6</v>
      </c>
      <c r="G707" s="14"/>
      <c r="H707" s="14"/>
      <c r="I707" s="14">
        <v>2841.6</v>
      </c>
      <c r="J707" s="14"/>
      <c r="K707" s="204"/>
      <c r="L707" s="123"/>
    </row>
    <row r="708" spans="1:14" x14ac:dyDescent="0.2">
      <c r="A708" s="362"/>
      <c r="B708" s="201"/>
      <c r="C708" s="203"/>
      <c r="D708" s="203"/>
      <c r="E708" s="191">
        <v>2020</v>
      </c>
      <c r="F708" s="94">
        <f t="shared" si="72"/>
        <v>2990.4</v>
      </c>
      <c r="G708" s="14"/>
      <c r="H708" s="14"/>
      <c r="I708" s="14">
        <v>2990.4</v>
      </c>
      <c r="J708" s="14"/>
      <c r="K708" s="204"/>
    </row>
    <row r="709" spans="1:14" x14ac:dyDescent="0.2">
      <c r="A709" s="362"/>
      <c r="B709" s="201"/>
      <c r="C709" s="203"/>
      <c r="D709" s="203"/>
      <c r="E709" s="24" t="s">
        <v>18</v>
      </c>
      <c r="F709" s="20">
        <f>SUM(F703:F708)</f>
        <v>15290.1</v>
      </c>
      <c r="G709" s="20">
        <f>SUM(G703:G708)</f>
        <v>0</v>
      </c>
      <c r="H709" s="20">
        <f>SUM(H703:H708)</f>
        <v>0</v>
      </c>
      <c r="I709" s="20">
        <f>SUM(I703:I708)</f>
        <v>15290.1</v>
      </c>
      <c r="J709" s="94">
        <f>SUM(J703:J708)</f>
        <v>0</v>
      </c>
      <c r="K709" s="205"/>
    </row>
    <row r="710" spans="1:14" ht="25.5" x14ac:dyDescent="0.2">
      <c r="A710" s="365" t="s">
        <v>204</v>
      </c>
      <c r="B710" s="366"/>
      <c r="C710" s="366"/>
      <c r="D710" s="366"/>
      <c r="E710" s="61" t="s">
        <v>61</v>
      </c>
      <c r="F710" s="20">
        <f>F709+F702+F695+F688</f>
        <v>37666.6</v>
      </c>
      <c r="G710" s="20">
        <f>G709+G702+G695+G688</f>
        <v>0</v>
      </c>
      <c r="H710" s="20">
        <f>H709+H702+H695+H688</f>
        <v>0</v>
      </c>
      <c r="I710" s="20">
        <f>I709+I702+I695+I688</f>
        <v>33896.299999999996</v>
      </c>
      <c r="J710" s="20">
        <f>J709+J702+J695+J688</f>
        <v>3770.3</v>
      </c>
      <c r="K710" s="91"/>
      <c r="L710" s="151"/>
      <c r="M710" s="123"/>
      <c r="N710" s="123"/>
    </row>
    <row r="711" spans="1:14" ht="15.75" customHeight="1" x14ac:dyDescent="0.2">
      <c r="A711" s="355" t="s">
        <v>234</v>
      </c>
      <c r="B711" s="356"/>
      <c r="C711" s="356"/>
      <c r="D711" s="356"/>
      <c r="E711" s="296"/>
      <c r="F711" s="296"/>
      <c r="G711" s="296"/>
      <c r="H711" s="296"/>
      <c r="I711" s="296"/>
      <c r="J711" s="296"/>
      <c r="K711" s="296"/>
    </row>
    <row r="712" spans="1:14" x14ac:dyDescent="0.2">
      <c r="A712" s="361" t="s">
        <v>110</v>
      </c>
      <c r="B712" s="200" t="s">
        <v>111</v>
      </c>
      <c r="C712" s="202" t="s">
        <v>61</v>
      </c>
      <c r="D712" s="338" t="s">
        <v>218</v>
      </c>
      <c r="E712" s="191">
        <v>2015</v>
      </c>
      <c r="F712" s="94">
        <f t="shared" ref="F712:F717" si="73">SUM(G712:I712)</f>
        <v>2070.1</v>
      </c>
      <c r="G712" s="14"/>
      <c r="H712" s="14"/>
      <c r="I712" s="14">
        <v>2070.1</v>
      </c>
      <c r="J712" s="14"/>
      <c r="K712" s="197" t="s">
        <v>1</v>
      </c>
    </row>
    <row r="713" spans="1:14" x14ac:dyDescent="0.2">
      <c r="A713" s="362"/>
      <c r="B713" s="201"/>
      <c r="C713" s="203"/>
      <c r="D713" s="203"/>
      <c r="E713" s="191">
        <v>2016</v>
      </c>
      <c r="F713" s="94">
        <f t="shared" si="73"/>
        <v>2173.6</v>
      </c>
      <c r="G713" s="14"/>
      <c r="H713" s="14"/>
      <c r="I713" s="14">
        <v>2173.6</v>
      </c>
      <c r="J713" s="14"/>
      <c r="K713" s="204"/>
    </row>
    <row r="714" spans="1:14" x14ac:dyDescent="0.2">
      <c r="A714" s="362"/>
      <c r="B714" s="201"/>
      <c r="C714" s="203"/>
      <c r="D714" s="203"/>
      <c r="E714" s="191">
        <v>2017</v>
      </c>
      <c r="F714" s="94">
        <f t="shared" si="73"/>
        <v>2282.3000000000002</v>
      </c>
      <c r="G714" s="14"/>
      <c r="H714" s="14"/>
      <c r="I714" s="14">
        <v>2282.3000000000002</v>
      </c>
      <c r="J714" s="14"/>
      <c r="K714" s="204"/>
      <c r="L714" s="123"/>
    </row>
    <row r="715" spans="1:14" x14ac:dyDescent="0.2">
      <c r="A715" s="362"/>
      <c r="B715" s="201"/>
      <c r="C715" s="203"/>
      <c r="D715" s="203"/>
      <c r="E715" s="191">
        <v>2018</v>
      </c>
      <c r="F715" s="94">
        <f t="shared" si="73"/>
        <v>2396.4</v>
      </c>
      <c r="G715" s="14"/>
      <c r="H715" s="14"/>
      <c r="I715" s="14">
        <v>2396.4</v>
      </c>
      <c r="J715" s="14"/>
      <c r="K715" s="204"/>
      <c r="L715" s="123"/>
    </row>
    <row r="716" spans="1:14" x14ac:dyDescent="0.2">
      <c r="A716" s="362"/>
      <c r="B716" s="201"/>
      <c r="C716" s="203"/>
      <c r="D716" s="203"/>
      <c r="E716" s="191">
        <v>2019</v>
      </c>
      <c r="F716" s="94">
        <f t="shared" si="73"/>
        <v>2516.1999999999998</v>
      </c>
      <c r="G716" s="14"/>
      <c r="H716" s="14"/>
      <c r="I716" s="14">
        <v>2516.1999999999998</v>
      </c>
      <c r="J716" s="14"/>
      <c r="K716" s="204"/>
      <c r="L716" s="123"/>
    </row>
    <row r="717" spans="1:14" x14ac:dyDescent="0.2">
      <c r="A717" s="362"/>
      <c r="B717" s="201"/>
      <c r="C717" s="203"/>
      <c r="D717" s="203"/>
      <c r="E717" s="191">
        <v>2020</v>
      </c>
      <c r="F717" s="94">
        <f t="shared" si="73"/>
        <v>2642.1</v>
      </c>
      <c r="G717" s="14"/>
      <c r="H717" s="14"/>
      <c r="I717" s="14">
        <v>2642.1</v>
      </c>
      <c r="J717" s="14"/>
      <c r="K717" s="204"/>
    </row>
    <row r="718" spans="1:14" x14ac:dyDescent="0.2">
      <c r="A718" s="362"/>
      <c r="B718" s="201"/>
      <c r="C718" s="203"/>
      <c r="D718" s="203"/>
      <c r="E718" s="24" t="s">
        <v>18</v>
      </c>
      <c r="F718" s="20">
        <f>SUM(F712:F717)</f>
        <v>14080.699999999999</v>
      </c>
      <c r="G718" s="13"/>
      <c r="H718" s="13"/>
      <c r="I718" s="13">
        <f>SUM(I712:I717)</f>
        <v>14080.699999999999</v>
      </c>
      <c r="J718" s="13"/>
      <c r="K718" s="205"/>
    </row>
    <row r="719" spans="1:14" ht="25.5" x14ac:dyDescent="0.2">
      <c r="A719" s="365" t="s">
        <v>207</v>
      </c>
      <c r="B719" s="366"/>
      <c r="C719" s="366"/>
      <c r="D719" s="366"/>
      <c r="E719" s="61" t="s">
        <v>61</v>
      </c>
      <c r="F719" s="20">
        <f>F718</f>
        <v>14080.699999999999</v>
      </c>
      <c r="G719" s="20">
        <f>G718</f>
        <v>0</v>
      </c>
      <c r="H719" s="20">
        <f>H718</f>
        <v>0</v>
      </c>
      <c r="I719" s="20">
        <f>I718</f>
        <v>14080.699999999999</v>
      </c>
      <c r="J719" s="18"/>
      <c r="K719" s="91"/>
      <c r="L719" s="143"/>
      <c r="M719" s="123"/>
    </row>
    <row r="720" spans="1:14" ht="47.25" x14ac:dyDescent="0.25">
      <c r="A720" s="363" t="s">
        <v>214</v>
      </c>
      <c r="B720" s="293"/>
      <c r="C720" s="293"/>
      <c r="D720" s="294"/>
      <c r="E720" s="102" t="s">
        <v>61</v>
      </c>
      <c r="F720" s="102" t="s">
        <v>18</v>
      </c>
      <c r="G720" s="103" t="s">
        <v>10</v>
      </c>
      <c r="H720" s="179" t="s">
        <v>11</v>
      </c>
      <c r="I720" s="179" t="s">
        <v>12</v>
      </c>
      <c r="J720" s="179" t="s">
        <v>13</v>
      </c>
      <c r="K720" s="58"/>
      <c r="L720" s="151"/>
      <c r="M720" s="152"/>
      <c r="N720" s="152"/>
    </row>
    <row r="721" spans="1:35" ht="16.5" thickBot="1" x14ac:dyDescent="0.3">
      <c r="A721" s="367"/>
      <c r="B721" s="368"/>
      <c r="C721" s="368"/>
      <c r="D721" s="369"/>
      <c r="E721" s="104"/>
      <c r="F721" s="171">
        <f>F719+F710</f>
        <v>51747.299999999996</v>
      </c>
      <c r="G721" s="171">
        <f>G719+G710</f>
        <v>0</v>
      </c>
      <c r="H721" s="171">
        <f>H719+H710</f>
        <v>0</v>
      </c>
      <c r="I721" s="171">
        <f>I719+I710</f>
        <v>47976.999999999993</v>
      </c>
      <c r="J721" s="171">
        <f>J719+J710</f>
        <v>3770.3</v>
      </c>
      <c r="K721" s="58"/>
    </row>
    <row r="722" spans="1:35" ht="18" x14ac:dyDescent="0.2">
      <c r="A722" s="281" t="s">
        <v>321</v>
      </c>
      <c r="B722" s="282"/>
      <c r="C722" s="282"/>
      <c r="D722" s="282"/>
      <c r="E722" s="282"/>
      <c r="F722" s="282"/>
      <c r="G722" s="282"/>
      <c r="H722" s="282"/>
      <c r="I722" s="282"/>
      <c r="J722" s="282"/>
      <c r="K722" s="282"/>
      <c r="L722" s="47"/>
      <c r="M722" s="47"/>
      <c r="N722" s="47"/>
      <c r="O722" s="47"/>
      <c r="P722" s="47"/>
      <c r="Q722" s="47"/>
      <c r="R722" s="47"/>
      <c r="S722" s="47"/>
      <c r="T722" s="47"/>
      <c r="U722" s="47"/>
      <c r="V722" s="47"/>
      <c r="W722" s="45"/>
      <c r="X722" s="45"/>
      <c r="Y722" s="45"/>
      <c r="Z722" s="45"/>
      <c r="AA722" s="45"/>
      <c r="AB722" s="45"/>
      <c r="AC722" s="45"/>
      <c r="AD722" s="45"/>
      <c r="AE722" s="45"/>
      <c r="AF722" s="45"/>
      <c r="AG722" s="45"/>
      <c r="AH722" s="45"/>
      <c r="AI722" s="46"/>
    </row>
    <row r="723" spans="1:35" ht="30" customHeight="1" thickBot="1" x14ac:dyDescent="0.25">
      <c r="A723" s="355" t="s">
        <v>322</v>
      </c>
      <c r="B723" s="356"/>
      <c r="C723" s="356"/>
      <c r="D723" s="356"/>
      <c r="E723" s="296"/>
      <c r="F723" s="296"/>
      <c r="G723" s="296"/>
      <c r="H723" s="296"/>
      <c r="I723" s="296"/>
      <c r="J723" s="296"/>
      <c r="K723" s="296"/>
      <c r="L723" s="64"/>
      <c r="M723" s="64"/>
      <c r="N723" s="64"/>
      <c r="O723" s="64"/>
      <c r="P723" s="64"/>
      <c r="Q723" s="64"/>
      <c r="R723" s="64"/>
      <c r="S723" s="64"/>
      <c r="T723" s="64"/>
      <c r="U723" s="64"/>
      <c r="V723" s="64"/>
      <c r="W723" s="92"/>
      <c r="X723" s="92"/>
      <c r="Y723" s="92"/>
      <c r="Z723" s="92"/>
      <c r="AA723" s="92"/>
      <c r="AB723" s="92"/>
      <c r="AC723" s="92"/>
      <c r="AD723" s="92"/>
      <c r="AE723" s="92"/>
      <c r="AF723" s="92"/>
      <c r="AG723" s="92"/>
      <c r="AH723" s="92"/>
      <c r="AI723" s="93"/>
    </row>
    <row r="724" spans="1:35" ht="18" customHeight="1" x14ac:dyDescent="0.2">
      <c r="A724" s="342" t="s">
        <v>103</v>
      </c>
      <c r="B724" s="358" t="s">
        <v>323</v>
      </c>
      <c r="C724" s="202" t="s">
        <v>313</v>
      </c>
      <c r="D724" s="197" t="s">
        <v>218</v>
      </c>
      <c r="E724" s="191">
        <v>2017</v>
      </c>
      <c r="F724" s="170">
        <f t="shared" ref="F724:F727" si="74">SUM(G724:J724)</f>
        <v>28240.7</v>
      </c>
      <c r="G724" s="14"/>
      <c r="H724" s="14"/>
      <c r="I724" s="14">
        <f>25971.2+2269.5</f>
        <v>28240.7</v>
      </c>
      <c r="J724" s="14">
        <v>0</v>
      </c>
      <c r="K724" s="379" t="s">
        <v>401</v>
      </c>
      <c r="L724" s="34"/>
      <c r="M724" s="34"/>
      <c r="N724" s="34"/>
      <c r="O724" s="34"/>
      <c r="P724" s="34"/>
      <c r="Q724" s="34"/>
      <c r="R724" s="34"/>
      <c r="S724" s="34"/>
      <c r="T724" s="34"/>
      <c r="U724" s="34"/>
      <c r="V724" s="34"/>
    </row>
    <row r="725" spans="1:35" ht="18" customHeight="1" x14ac:dyDescent="0.2">
      <c r="A725" s="343"/>
      <c r="B725" s="359"/>
      <c r="C725" s="203"/>
      <c r="D725" s="198"/>
      <c r="E725" s="191">
        <v>2018</v>
      </c>
      <c r="F725" s="94">
        <f t="shared" si="74"/>
        <v>0</v>
      </c>
      <c r="G725" s="14"/>
      <c r="H725" s="14"/>
      <c r="I725" s="14">
        <v>0</v>
      </c>
      <c r="J725" s="14">
        <v>0</v>
      </c>
      <c r="K725" s="482"/>
      <c r="L725" s="34"/>
      <c r="M725" s="34"/>
      <c r="N725" s="34"/>
      <c r="O725" s="34"/>
      <c r="P725" s="34"/>
      <c r="Q725" s="34"/>
      <c r="R725" s="34"/>
      <c r="S725" s="34"/>
      <c r="T725" s="34"/>
      <c r="U725" s="34"/>
      <c r="V725" s="34"/>
    </row>
    <row r="726" spans="1:35" ht="18" customHeight="1" x14ac:dyDescent="0.2">
      <c r="A726" s="343"/>
      <c r="B726" s="359"/>
      <c r="C726" s="203"/>
      <c r="D726" s="198"/>
      <c r="E726" s="191">
        <v>2019</v>
      </c>
      <c r="F726" s="94">
        <f t="shared" si="74"/>
        <v>0</v>
      </c>
      <c r="G726" s="14"/>
      <c r="H726" s="14"/>
      <c r="I726" s="14">
        <v>0</v>
      </c>
      <c r="J726" s="14">
        <v>0</v>
      </c>
      <c r="K726" s="482"/>
      <c r="L726" s="123"/>
    </row>
    <row r="727" spans="1:35" ht="18" customHeight="1" x14ac:dyDescent="0.2">
      <c r="A727" s="343"/>
      <c r="B727" s="359"/>
      <c r="C727" s="203"/>
      <c r="D727" s="198"/>
      <c r="E727" s="191">
        <v>2020</v>
      </c>
      <c r="F727" s="94">
        <f t="shared" si="74"/>
        <v>0</v>
      </c>
      <c r="G727" s="14"/>
      <c r="H727" s="14"/>
      <c r="I727" s="14">
        <v>0</v>
      </c>
      <c r="J727" s="14">
        <v>0</v>
      </c>
      <c r="K727" s="482"/>
      <c r="L727" s="123"/>
    </row>
    <row r="728" spans="1:35" ht="18" customHeight="1" x14ac:dyDescent="0.2">
      <c r="A728" s="357"/>
      <c r="B728" s="360"/>
      <c r="C728" s="269"/>
      <c r="D728" s="198"/>
      <c r="E728" s="24" t="s">
        <v>18</v>
      </c>
      <c r="F728" s="163">
        <f>SUM(F724:F727)</f>
        <v>28240.7</v>
      </c>
      <c r="G728" s="163">
        <f>SUM(G724:G727)</f>
        <v>0</v>
      </c>
      <c r="H728" s="163">
        <f>SUM(H724:H727)</f>
        <v>0</v>
      </c>
      <c r="I728" s="163">
        <f>SUM(I724:I727)</f>
        <v>28240.7</v>
      </c>
      <c r="J728" s="163">
        <f>SUM(J724:J727)</f>
        <v>0</v>
      </c>
      <c r="K728" s="483"/>
    </row>
    <row r="729" spans="1:35" ht="25.5" x14ac:dyDescent="0.2">
      <c r="A729" s="309" t="s">
        <v>204</v>
      </c>
      <c r="B729" s="310"/>
      <c r="C729" s="310"/>
      <c r="D729" s="310"/>
      <c r="E729" s="6" t="s">
        <v>313</v>
      </c>
      <c r="F729" s="99">
        <f>SUM(F724:F727)</f>
        <v>28240.7</v>
      </c>
      <c r="G729" s="19"/>
      <c r="H729" s="13">
        <f>SUM(H724:H727)</f>
        <v>0</v>
      </c>
      <c r="I729" s="13">
        <f>SUM(I724:I727)</f>
        <v>28240.7</v>
      </c>
      <c r="J729" s="19"/>
      <c r="K729" s="6"/>
    </row>
    <row r="730" spans="1:35" ht="18" customHeight="1" thickBot="1" x14ac:dyDescent="0.25">
      <c r="A730" s="355" t="s">
        <v>324</v>
      </c>
      <c r="B730" s="356"/>
      <c r="C730" s="356"/>
      <c r="D730" s="356"/>
      <c r="E730" s="296"/>
      <c r="F730" s="296"/>
      <c r="G730" s="296"/>
      <c r="H730" s="296"/>
      <c r="I730" s="296"/>
      <c r="J730" s="296"/>
      <c r="K730" s="296"/>
      <c r="L730" s="64"/>
      <c r="M730" s="64"/>
      <c r="N730" s="64"/>
      <c r="O730" s="64"/>
      <c r="P730" s="64"/>
      <c r="Q730" s="64"/>
      <c r="R730" s="64"/>
      <c r="S730" s="64"/>
      <c r="T730" s="64"/>
      <c r="U730" s="64"/>
      <c r="V730" s="64"/>
      <c r="W730" s="92"/>
      <c r="X730" s="92"/>
      <c r="Y730" s="92"/>
      <c r="Z730" s="92"/>
      <c r="AA730" s="92"/>
      <c r="AB730" s="92"/>
      <c r="AC730" s="92"/>
      <c r="AD730" s="92"/>
      <c r="AE730" s="92"/>
      <c r="AF730" s="92"/>
      <c r="AG730" s="92"/>
      <c r="AH730" s="92"/>
      <c r="AI730" s="93"/>
    </row>
    <row r="731" spans="1:35" ht="18" customHeight="1" x14ac:dyDescent="0.2">
      <c r="A731" s="342" t="s">
        <v>110</v>
      </c>
      <c r="B731" s="358" t="s">
        <v>328</v>
      </c>
      <c r="C731" s="202" t="s">
        <v>313</v>
      </c>
      <c r="D731" s="197" t="s">
        <v>218</v>
      </c>
      <c r="E731" s="191">
        <v>2017</v>
      </c>
      <c r="F731" s="170">
        <f t="shared" ref="F731:F734" si="75">SUM(G731:J731)</f>
        <v>21630.400000000001</v>
      </c>
      <c r="G731" s="14"/>
      <c r="H731" s="14"/>
      <c r="I731" s="14">
        <f>20880.4+750</f>
        <v>21630.400000000001</v>
      </c>
      <c r="J731" s="14">
        <v>0</v>
      </c>
      <c r="K731" s="379" t="s">
        <v>402</v>
      </c>
      <c r="L731" s="34"/>
      <c r="M731" s="34"/>
      <c r="N731" s="34"/>
      <c r="O731" s="34"/>
      <c r="P731" s="34"/>
      <c r="Q731" s="34"/>
      <c r="R731" s="34"/>
      <c r="S731" s="34"/>
      <c r="T731" s="34"/>
      <c r="U731" s="34"/>
      <c r="V731" s="34"/>
    </row>
    <row r="732" spans="1:35" ht="18" customHeight="1" x14ac:dyDescent="0.2">
      <c r="A732" s="343"/>
      <c r="B732" s="359"/>
      <c r="C732" s="203"/>
      <c r="D732" s="198"/>
      <c r="E732" s="191">
        <v>2018</v>
      </c>
      <c r="F732" s="94">
        <f t="shared" si="75"/>
        <v>0</v>
      </c>
      <c r="G732" s="14"/>
      <c r="H732" s="14"/>
      <c r="I732" s="14">
        <v>0</v>
      </c>
      <c r="J732" s="14">
        <v>0</v>
      </c>
      <c r="K732" s="380"/>
      <c r="L732" s="34"/>
      <c r="M732" s="34"/>
      <c r="N732" s="34"/>
      <c r="O732" s="34"/>
      <c r="P732" s="34"/>
      <c r="Q732" s="34"/>
      <c r="R732" s="34"/>
      <c r="S732" s="34"/>
      <c r="T732" s="34"/>
      <c r="U732" s="34"/>
      <c r="V732" s="34"/>
    </row>
    <row r="733" spans="1:35" ht="18" customHeight="1" x14ac:dyDescent="0.2">
      <c r="A733" s="343"/>
      <c r="B733" s="359"/>
      <c r="C733" s="203"/>
      <c r="D733" s="198"/>
      <c r="E733" s="191">
        <v>2019</v>
      </c>
      <c r="F733" s="94">
        <f t="shared" si="75"/>
        <v>0</v>
      </c>
      <c r="G733" s="14"/>
      <c r="H733" s="14"/>
      <c r="I733" s="14">
        <v>0</v>
      </c>
      <c r="J733" s="14">
        <v>0</v>
      </c>
      <c r="K733" s="380"/>
      <c r="L733" s="123"/>
    </row>
    <row r="734" spans="1:35" ht="18" customHeight="1" x14ac:dyDescent="0.2">
      <c r="A734" s="343"/>
      <c r="B734" s="359"/>
      <c r="C734" s="203"/>
      <c r="D734" s="198"/>
      <c r="E734" s="191">
        <v>2020</v>
      </c>
      <c r="F734" s="94">
        <f t="shared" si="75"/>
        <v>0</v>
      </c>
      <c r="G734" s="14"/>
      <c r="H734" s="14"/>
      <c r="I734" s="14">
        <v>0</v>
      </c>
      <c r="J734" s="14">
        <v>0</v>
      </c>
      <c r="K734" s="380"/>
      <c r="L734" s="123"/>
    </row>
    <row r="735" spans="1:35" ht="18" customHeight="1" x14ac:dyDescent="0.2">
      <c r="A735" s="357"/>
      <c r="B735" s="360"/>
      <c r="C735" s="269"/>
      <c r="D735" s="198"/>
      <c r="E735" s="24" t="s">
        <v>18</v>
      </c>
      <c r="F735" s="163">
        <f>SUM(F731:F734)</f>
        <v>21630.400000000001</v>
      </c>
      <c r="G735" s="163">
        <f>SUM(G731:G734)</f>
        <v>0</v>
      </c>
      <c r="H735" s="163">
        <f>SUM(H731:H734)</f>
        <v>0</v>
      </c>
      <c r="I735" s="163">
        <f>SUM(I731:I734)</f>
        <v>21630.400000000001</v>
      </c>
      <c r="J735" s="163">
        <f>SUM(J731:J734)</f>
        <v>0</v>
      </c>
      <c r="K735" s="381"/>
    </row>
    <row r="736" spans="1:35" ht="25.5" x14ac:dyDescent="0.2">
      <c r="A736" s="309" t="s">
        <v>207</v>
      </c>
      <c r="B736" s="310"/>
      <c r="C736" s="310"/>
      <c r="D736" s="310"/>
      <c r="E736" s="6" t="s">
        <v>313</v>
      </c>
      <c r="F736" s="99">
        <f>SUM(F731:F734)</f>
        <v>21630.400000000001</v>
      </c>
      <c r="G736" s="19"/>
      <c r="H736" s="13">
        <f>SUM(H731:H734)</f>
        <v>0</v>
      </c>
      <c r="I736" s="13">
        <f>SUM(I731:I734)</f>
        <v>21630.400000000001</v>
      </c>
      <c r="J736" s="19"/>
      <c r="K736" s="6"/>
    </row>
    <row r="737" spans="1:35" ht="30" customHeight="1" thickBot="1" x14ac:dyDescent="0.25">
      <c r="A737" s="355" t="s">
        <v>325</v>
      </c>
      <c r="B737" s="356"/>
      <c r="C737" s="356"/>
      <c r="D737" s="356"/>
      <c r="E737" s="296"/>
      <c r="F737" s="296"/>
      <c r="G737" s="296"/>
      <c r="H737" s="296"/>
      <c r="I737" s="296"/>
      <c r="J737" s="296"/>
      <c r="K737" s="296"/>
      <c r="L737" s="64"/>
      <c r="M737" s="64"/>
      <c r="N737" s="64"/>
      <c r="O737" s="64"/>
      <c r="P737" s="64"/>
      <c r="Q737" s="64"/>
      <c r="R737" s="64"/>
      <c r="S737" s="64"/>
      <c r="T737" s="64"/>
      <c r="U737" s="64"/>
      <c r="V737" s="64"/>
      <c r="W737" s="92"/>
      <c r="X737" s="92"/>
      <c r="Y737" s="92"/>
      <c r="Z737" s="92"/>
      <c r="AA737" s="92"/>
      <c r="AB737" s="92"/>
      <c r="AC737" s="92"/>
      <c r="AD737" s="92"/>
      <c r="AE737" s="92"/>
      <c r="AF737" s="92"/>
      <c r="AG737" s="92"/>
      <c r="AH737" s="92"/>
      <c r="AI737" s="93"/>
    </row>
    <row r="738" spans="1:35" ht="18" customHeight="1" x14ac:dyDescent="0.2">
      <c r="A738" s="342" t="s">
        <v>405</v>
      </c>
      <c r="B738" s="358" t="s">
        <v>326</v>
      </c>
      <c r="C738" s="202" t="s">
        <v>313</v>
      </c>
      <c r="D738" s="197" t="s">
        <v>218</v>
      </c>
      <c r="E738" s="191">
        <v>2017</v>
      </c>
      <c r="F738" s="170">
        <f t="shared" ref="F738:F741" si="76">SUM(G738:J738)</f>
        <v>10020.200000000001</v>
      </c>
      <c r="G738" s="14"/>
      <c r="H738" s="14"/>
      <c r="I738" s="14">
        <f>9704.7+315.5</f>
        <v>10020.200000000001</v>
      </c>
      <c r="J738" s="14">
        <v>0</v>
      </c>
      <c r="K738" s="379" t="s">
        <v>403</v>
      </c>
      <c r="L738" s="34"/>
      <c r="M738" s="34"/>
      <c r="N738" s="34"/>
      <c r="O738" s="34"/>
      <c r="P738" s="34"/>
      <c r="Q738" s="34"/>
      <c r="R738" s="34"/>
      <c r="S738" s="34"/>
      <c r="T738" s="34"/>
      <c r="U738" s="34"/>
      <c r="V738" s="34"/>
    </row>
    <row r="739" spans="1:35" ht="18" customHeight="1" x14ac:dyDescent="0.2">
      <c r="A739" s="343"/>
      <c r="B739" s="359"/>
      <c r="C739" s="203"/>
      <c r="D739" s="198"/>
      <c r="E739" s="191">
        <v>2018</v>
      </c>
      <c r="F739" s="94">
        <f t="shared" si="76"/>
        <v>0</v>
      </c>
      <c r="G739" s="14"/>
      <c r="H739" s="14"/>
      <c r="I739" s="14">
        <v>0</v>
      </c>
      <c r="J739" s="14">
        <v>0</v>
      </c>
      <c r="K739" s="380"/>
      <c r="L739" s="34"/>
      <c r="M739" s="34"/>
      <c r="N739" s="34"/>
      <c r="O739" s="34"/>
      <c r="P739" s="34"/>
      <c r="Q739" s="34"/>
      <c r="R739" s="34"/>
      <c r="S739" s="34"/>
      <c r="T739" s="34"/>
      <c r="U739" s="34"/>
      <c r="V739" s="34"/>
    </row>
    <row r="740" spans="1:35" ht="18" customHeight="1" x14ac:dyDescent="0.2">
      <c r="A740" s="343"/>
      <c r="B740" s="359"/>
      <c r="C740" s="203"/>
      <c r="D740" s="198"/>
      <c r="E740" s="191">
        <v>2019</v>
      </c>
      <c r="F740" s="94">
        <f t="shared" si="76"/>
        <v>0</v>
      </c>
      <c r="G740" s="14"/>
      <c r="H740" s="14"/>
      <c r="I740" s="14">
        <v>0</v>
      </c>
      <c r="J740" s="14">
        <v>0</v>
      </c>
      <c r="K740" s="380"/>
      <c r="L740" s="123"/>
    </row>
    <row r="741" spans="1:35" ht="18" customHeight="1" x14ac:dyDescent="0.2">
      <c r="A741" s="343"/>
      <c r="B741" s="359"/>
      <c r="C741" s="203"/>
      <c r="D741" s="198"/>
      <c r="E741" s="191">
        <v>2020</v>
      </c>
      <c r="F741" s="94">
        <f t="shared" si="76"/>
        <v>0</v>
      </c>
      <c r="G741" s="14"/>
      <c r="H741" s="14"/>
      <c r="I741" s="14">
        <v>0</v>
      </c>
      <c r="J741" s="14">
        <v>0</v>
      </c>
      <c r="K741" s="380"/>
      <c r="L741" s="123"/>
    </row>
    <row r="742" spans="1:35" ht="18" customHeight="1" x14ac:dyDescent="0.2">
      <c r="A742" s="357"/>
      <c r="B742" s="360"/>
      <c r="C742" s="269"/>
      <c r="D742" s="198"/>
      <c r="E742" s="24" t="s">
        <v>18</v>
      </c>
      <c r="F742" s="20">
        <f>SUM(F738:F741)</f>
        <v>10020.200000000001</v>
      </c>
      <c r="G742" s="20">
        <f>SUM(G738:G741)</f>
        <v>0</v>
      </c>
      <c r="H742" s="20">
        <f>SUM(H738:H741)</f>
        <v>0</v>
      </c>
      <c r="I742" s="20">
        <f>SUM(I738:I741)</f>
        <v>10020.200000000001</v>
      </c>
      <c r="J742" s="20">
        <f>SUM(J738:J741)</f>
        <v>0</v>
      </c>
      <c r="K742" s="381"/>
    </row>
    <row r="743" spans="1:35" ht="25.5" x14ac:dyDescent="0.2">
      <c r="A743" s="309" t="s">
        <v>195</v>
      </c>
      <c r="B743" s="310"/>
      <c r="C743" s="310"/>
      <c r="D743" s="310"/>
      <c r="E743" s="6" t="s">
        <v>313</v>
      </c>
      <c r="F743" s="99">
        <f>SUM(F738:F741)</f>
        <v>10020.200000000001</v>
      </c>
      <c r="G743" s="19"/>
      <c r="H743" s="13">
        <f>SUM(H738:H741)</f>
        <v>0</v>
      </c>
      <c r="I743" s="13">
        <f>SUM(I738:I741)</f>
        <v>10020.200000000001</v>
      </c>
      <c r="J743" s="19"/>
      <c r="K743" s="6"/>
    </row>
    <row r="744" spans="1:35" ht="47.25" x14ac:dyDescent="0.25">
      <c r="A744" s="363" t="s">
        <v>327</v>
      </c>
      <c r="B744" s="293"/>
      <c r="C744" s="293"/>
      <c r="D744" s="294"/>
      <c r="E744" s="102" t="s">
        <v>313</v>
      </c>
      <c r="F744" s="102" t="s">
        <v>18</v>
      </c>
      <c r="G744" s="103" t="s">
        <v>10</v>
      </c>
      <c r="H744" s="179" t="s">
        <v>11</v>
      </c>
      <c r="I744" s="179" t="s">
        <v>12</v>
      </c>
      <c r="J744" s="179" t="s">
        <v>13</v>
      </c>
      <c r="K744" s="58"/>
      <c r="L744" s="132"/>
      <c r="M744" s="123"/>
    </row>
    <row r="745" spans="1:35" ht="15.75" x14ac:dyDescent="0.25">
      <c r="A745" s="367"/>
      <c r="B745" s="368"/>
      <c r="C745" s="368"/>
      <c r="D745" s="369"/>
      <c r="E745" s="104"/>
      <c r="F745" s="171">
        <f>F743+F736+F729</f>
        <v>59891.3</v>
      </c>
      <c r="G745" s="171">
        <f>G743+G734</f>
        <v>0</v>
      </c>
      <c r="H745" s="171">
        <f>H743+H736+H729</f>
        <v>0</v>
      </c>
      <c r="I745" s="171">
        <f>I743+I736+I729</f>
        <v>59891.3</v>
      </c>
      <c r="J745" s="171">
        <f>J743+J736+J729</f>
        <v>0</v>
      </c>
      <c r="K745" s="58"/>
    </row>
    <row r="746" spans="1:35" ht="47.25" x14ac:dyDescent="0.25">
      <c r="A746" s="370" t="s">
        <v>112</v>
      </c>
      <c r="B746" s="371"/>
      <c r="C746" s="371"/>
      <c r="D746" s="372"/>
      <c r="E746" s="102" t="s">
        <v>126</v>
      </c>
      <c r="F746" s="102" t="s">
        <v>18</v>
      </c>
      <c r="G746" s="103" t="s">
        <v>10</v>
      </c>
      <c r="H746" s="179" t="s">
        <v>11</v>
      </c>
      <c r="I746" s="179" t="s">
        <v>12</v>
      </c>
      <c r="J746" s="179" t="s">
        <v>13</v>
      </c>
      <c r="K746" s="58"/>
    </row>
    <row r="747" spans="1:35" x14ac:dyDescent="0.2">
      <c r="A747" s="373"/>
      <c r="B747" s="374"/>
      <c r="C747" s="374"/>
      <c r="D747" s="375"/>
      <c r="E747" s="191">
        <v>2015</v>
      </c>
      <c r="F747" s="94">
        <f t="shared" ref="F747:F752" si="77">SUM(H747:J747)</f>
        <v>1157693.2999999998</v>
      </c>
      <c r="G747" s="14"/>
      <c r="H747" s="14">
        <f>H712+H703+H696+H689+H682+H661+H654+H647+H640+H633+H626+H619+H609+H602+H592+H585+H575+H568+H561+H554+H544+H537+H530+H523+H504+H494+H487+H480+H473+H463+H448+H430+H423+H416+H409+H401+H392+H380+H371+H357+H325+H318+H311+H289+H276+H246+H232+H215+H209+H202+H195+H150+H143+H107+H83+H55+H39+H32+H23+H16</f>
        <v>986489.1</v>
      </c>
      <c r="I747" s="14">
        <f>I16+I23+I32+I39+I55+I62+I69+I83+I99+I107+I117+I127+I134+I143+I150+I157+I164+I195+I202+I215+I232+I246+I276+I289+I301+I311+I318+I325+I357+I371+I380+I392+I401+I409+I416+I423+I448+I463+I473+I480+I487+I494+I504+I523+I530+I537+I544+I554+I561+I568+I575+I585+I592+I602+I609+I619+I626+I633+I640+I647+I654+I661+I682+I689+I696+I703+I712+I430+I455</f>
        <v>170563.49999999997</v>
      </c>
      <c r="J747" s="14">
        <f t="shared" ref="J747:J752" si="78">J16+J23+J32+J39+J55+J62+J69+J83+J99+J107+J117+J127+J134+J143+J150+J157+J164+J195+J202+J215+J232+J246+J276+J289+J301+J311+J318+J325+J357+J371+J380+J392+J401+J409+J416+J423+J448+J463+J473+J480+J487+J494+J504+J523+J530+J537+J544+J554+J561+J568+J575+J585+J592+J602+J609+J619+J626+J633+J640+J647+J654+J661+J682+J689+J696+J703+J712</f>
        <v>640.69999999999993</v>
      </c>
      <c r="K747" s="364"/>
    </row>
    <row r="748" spans="1:35" x14ac:dyDescent="0.2">
      <c r="A748" s="373"/>
      <c r="B748" s="374"/>
      <c r="C748" s="374"/>
      <c r="D748" s="375"/>
      <c r="E748" s="191">
        <v>2016</v>
      </c>
      <c r="F748" s="94">
        <f t="shared" si="77"/>
        <v>1134983.6000000001</v>
      </c>
      <c r="G748" s="14"/>
      <c r="H748" s="14">
        <f>H17+H24+H33+H40+H56+H63+H70+H84+H100+H108+H118+H128+H135+H144+H151+H158+H165+H196+H203+H216+H233+H247+H277+H290+H302+H312+H319+H326+H358+H372+H381+H393+H402+H410+H417+H424+H449+H464+H474+H481+H488+H495+H505+H524+H531+H538+H545+H555+H562+H569+H576+H586+H593+H603+H610+H620+H627+H634+H641+H648+H655+H662+H683+H690+H697+H704+H713+H333+H185+H46+H222+H339</f>
        <v>934993.5</v>
      </c>
      <c r="I748" s="14">
        <f>I17+I24+I33+I40+I56+I63+I70+I84+I100+I108+I118+I128+I135+I144+I151+I158+I165+I196+I203+I216+I233+I247+I277+I290+I302+I312+I319+I326+I358+I372+I381+I393+I402+I410+I417+I424+I449+I464+I474+I481+I488+I495+I505+I524+I531+I538+I545+I555+I562+I569+I576+I586+I593+I603+I610+I620+I627+I634+I641+I648+I655+I662+I683+I690+I697+I704+I713+I456+I437+I239+I91+I333+I222+I46+I339</f>
        <v>199061.29999999996</v>
      </c>
      <c r="J748" s="14">
        <f t="shared" si="78"/>
        <v>928.79999999999984</v>
      </c>
      <c r="K748" s="364"/>
    </row>
    <row r="749" spans="1:35" x14ac:dyDescent="0.2">
      <c r="A749" s="373"/>
      <c r="B749" s="374"/>
      <c r="C749" s="374"/>
      <c r="D749" s="375"/>
      <c r="E749" s="191">
        <v>2017</v>
      </c>
      <c r="F749" s="94">
        <f t="shared" si="77"/>
        <v>1454809.5</v>
      </c>
      <c r="G749" s="14"/>
      <c r="H749" s="14">
        <f>H18+H25+H34+H41+H47+H49+H57+H64+H71+H76+H85+H92+H101+H109+H119+H129+H136+H145+H152+H159+H166+H186+H197+H204+H211+H217+H223+H225+H227+H229+H234+H240+H248+H253+H258+H263+H268+H278+H283+H291+H296+H303+H313+H320+H327+H334+H340+H345+H350+H359+H364+H373+H382+H394+H403+H411+H418+H425+H432+H438+H443+H450+H457+H465+H475+H482+H489+H496+H506+H513+H525+H532+H539+H546+H556+H563+H570+H577+H587+H594+H604+H611+H621+H628+H635+H642+H649+H656+H663+H670+H684+H691+H698+H705+H714+H724+H731+H738</f>
        <v>1075219.2</v>
      </c>
      <c r="I749" s="14">
        <f>I18+I25+I34+I41+I47+I49+I57+I64+I71+I76+I85+I92+I101+I109+I119+I129+I136+I145+I152+I159+I166+I186+I197+I204+I211+I217+I223+I225+I227+I229+I234+I240+I248+I253+I258+I263+I268+I278+I283+I291+I296+I303+I313+I320+I327+I334+I340+I345+I350+I359+I364+I373+I382+I394+I403+I411+I418+I425+I432+I438+I443+I450+I457+I465+I475+I482+I489+I496+I506+I513+I525+I532+I539+I546+I556+I563+I570+I577+I587+I594+I604+I611+I621+I628+I635+I642+I649+I656+I663+I670+I684+I691+I698+I705+I714+I724+I731+I738+I51</f>
        <v>378497.69999999995</v>
      </c>
      <c r="J749" s="14">
        <f t="shared" si="78"/>
        <v>1092.5999999999999</v>
      </c>
      <c r="K749" s="364"/>
    </row>
    <row r="750" spans="1:35" x14ac:dyDescent="0.2">
      <c r="A750" s="373"/>
      <c r="B750" s="374"/>
      <c r="C750" s="374"/>
      <c r="D750" s="375"/>
      <c r="E750" s="191">
        <v>2018</v>
      </c>
      <c r="F750" s="94">
        <f t="shared" si="77"/>
        <v>899212.80000000016</v>
      </c>
      <c r="G750" s="14"/>
      <c r="H750" s="14">
        <f>H19+H26+H35+H42+H58+H65+H72+H86+H102+H110+H120+H130+H137+H146+H153+H160+H167+H198+H205+H218+H235+H249+H279+H292+H304+H314+H321+H328+H360+H374+H383+H395+H404+H412+H419+H426+H451+H466+H476+H483+H490+H497+H507+H526+H533+H540+H547+H557+H564+H571+H578+H588+H595+H605+H612+H622+H629+H636+H643+H650+H657+H664+H685+H692+H699+H706+H715+H187</f>
        <v>729074.00000000012</v>
      </c>
      <c r="I750" s="14">
        <f>I19+I26+I35+I42+I58+I65+I72+I86+I102+I110+I120+I130+I137+I146+I153+I160+I167+I198+I205+I218+I235+I249+I279+I292+I304+I314+I321+I328+I360+I374+I383+I395+I404+I412+I419+I426+I451+I466+I476+I483+I490+I497+I507+I526+I533+I540+I547+I557+I564+I571+I578+I588+I595+I605+I612+I622+I629+I636+I643+I650+I657+I664+I685+I692+I699+I706+I715+I458+I93+I241+I335+I341+I439+I212</f>
        <v>168777.30000000002</v>
      </c>
      <c r="J750" s="14">
        <f t="shared" si="78"/>
        <v>1361.5</v>
      </c>
      <c r="K750" s="364"/>
    </row>
    <row r="751" spans="1:35" x14ac:dyDescent="0.2">
      <c r="A751" s="373"/>
      <c r="B751" s="374"/>
      <c r="C751" s="374"/>
      <c r="D751" s="375"/>
      <c r="E751" s="191">
        <v>2019</v>
      </c>
      <c r="F751" s="94">
        <f t="shared" si="77"/>
        <v>906314.20000000019</v>
      </c>
      <c r="G751" s="14"/>
      <c r="H751" s="14">
        <f>H20+H27+H36+H43+H59+H66+H73+H87+H103+H111+H121+H131+H138+H147+H154+H161+H168+H199+H206+H219+H236+H250+H280+H293+H305+H315+H322+H329+H361+H375+H384+H396+H405+H413+H420+H427+H452+H467+H477+H484+H491+H498+H508+H527+H534+H541+H548+H558+H565+H572+H579+H589+H596+H606+H613+H623+H630+H637+H644+H651+H658+H665+H686+H693+H700+H707+H716+H188</f>
        <v>750327.40000000026</v>
      </c>
      <c r="I751" s="14">
        <f>I20+I27+I36+I43+I59+I66+I73+I87+I103+I111+I121+I131+I138+I147+I154+I161+I168+I199+I206+I219+I236+I250+I280+I293+I305+I315+I322+I329+I361+I375+I384+I396+I405+I413+I420+I427+I452+I467+I477+I484+I491+I498+I508+I527+I534+I541+I548+I558+I565+I572+I579+I589+I596+I606+I613+I623+I630+I637+I644+I651+I658+I665+I686+I693+I700+I707+I716+I459+I94+I242+I336+I342+I440</f>
        <v>154547.69999999998</v>
      </c>
      <c r="J751" s="14">
        <f t="shared" si="78"/>
        <v>1439.1</v>
      </c>
      <c r="K751" s="364"/>
    </row>
    <row r="752" spans="1:35" x14ac:dyDescent="0.2">
      <c r="A752" s="373"/>
      <c r="B752" s="374"/>
      <c r="C752" s="374"/>
      <c r="D752" s="375"/>
      <c r="E752" s="191">
        <v>2020</v>
      </c>
      <c r="F752" s="94">
        <f t="shared" si="77"/>
        <v>1523546.6</v>
      </c>
      <c r="G752" s="14"/>
      <c r="H752" s="14">
        <f>H21+H28+H37+H44+H60+H67+H74+H88+H104+H112+H122+H132+H139+H148+H155+H162+H169+H200+H207+H220+H237+H251+H281+H294+H306+H316+H323+H330+H362+H376+H385+H397+H406+H414+H421+H428+H453+H468+H478+H485+H492+H499+H509+H528+H535+H542+H549+H559+H566+H573+H580+H590+H597+H607+H614+H624+H631+H638+H645+H652+H659+H666+H687+H694+H701+H708+H717</f>
        <v>1320769.1000000001</v>
      </c>
      <c r="I752" s="14">
        <f>I21+I28+I37+I44+I60+I67+I74+I88+I104+I112+I122+I132+I139+I148+I155+I162+I169+I200+I207+I220+I237+I251+I281+I294+I306+I316+I323+I330+I362+I376+I385+I397+I406+I414+I421+I428+I453+I468+I478+I485+I492+I499+I509+I528+I535+I542+I549+I559+I566+I573+I580+I590+I597+I607+I614+I624+I631+I638+I645+I652+I659+I666+I687+I694+I701+I708+I717+I460</f>
        <v>201254.90000000002</v>
      </c>
      <c r="J752" s="14">
        <f t="shared" si="78"/>
        <v>1522.6000000000001</v>
      </c>
      <c r="K752" s="364"/>
    </row>
    <row r="753" spans="1:11" ht="15.75" customHeight="1" x14ac:dyDescent="0.2">
      <c r="A753" s="376"/>
      <c r="B753" s="377"/>
      <c r="C753" s="377"/>
      <c r="D753" s="378"/>
      <c r="E753" s="24" t="s">
        <v>127</v>
      </c>
      <c r="F753" s="131">
        <f>SUM(F747:F752)</f>
        <v>7076560</v>
      </c>
      <c r="G753" s="13"/>
      <c r="H753" s="13">
        <f>SUM(H747:H752)</f>
        <v>5796872.3000000007</v>
      </c>
      <c r="I753" s="13">
        <f>SUM(I747:I752)</f>
        <v>1272702.3999999999</v>
      </c>
      <c r="J753" s="13">
        <f>SUM(J747:J752)</f>
        <v>6985.2999999999993</v>
      </c>
      <c r="K753" s="364"/>
    </row>
    <row r="755" spans="1:11" x14ac:dyDescent="0.2">
      <c r="I755" s="95"/>
    </row>
  </sheetData>
  <mergeCells count="608">
    <mergeCell ref="B364:B368"/>
    <mergeCell ref="C364:C368"/>
    <mergeCell ref="D364:D368"/>
    <mergeCell ref="K364:K368"/>
    <mergeCell ref="A369:D369"/>
    <mergeCell ref="A370:K370"/>
    <mergeCell ref="A371:A377"/>
    <mergeCell ref="B371:B377"/>
    <mergeCell ref="C371:C377"/>
    <mergeCell ref="D371:D377"/>
    <mergeCell ref="K371:K377"/>
    <mergeCell ref="A379:K379"/>
    <mergeCell ref="B380:B386"/>
    <mergeCell ref="C380:C386"/>
    <mergeCell ref="D380:D386"/>
    <mergeCell ref="A378:D378"/>
    <mergeCell ref="A723:K723"/>
    <mergeCell ref="A724:A728"/>
    <mergeCell ref="B724:B728"/>
    <mergeCell ref="C724:C728"/>
    <mergeCell ref="D724:D728"/>
    <mergeCell ref="K724:K728"/>
    <mergeCell ref="A592:A598"/>
    <mergeCell ref="B592:B598"/>
    <mergeCell ref="C592:C598"/>
    <mergeCell ref="D592:D598"/>
    <mergeCell ref="K609:K615"/>
    <mergeCell ref="K602:K608"/>
    <mergeCell ref="K633:K660"/>
    <mergeCell ref="C670:C676"/>
    <mergeCell ref="A599:D599"/>
    <mergeCell ref="B696:B702"/>
    <mergeCell ref="C696:C702"/>
    <mergeCell ref="D696:D702"/>
    <mergeCell ref="D689:D695"/>
    <mergeCell ref="K682:K709"/>
    <mergeCell ref="D703:D709"/>
    <mergeCell ref="D626:D632"/>
    <mergeCell ref="C626:C632"/>
    <mergeCell ref="A626:A632"/>
    <mergeCell ref="A408:K408"/>
    <mergeCell ref="A409:A415"/>
    <mergeCell ref="B409:B415"/>
    <mergeCell ref="C409:C415"/>
    <mergeCell ref="A332:A338"/>
    <mergeCell ref="B332:B338"/>
    <mergeCell ref="C332:C338"/>
    <mergeCell ref="D332:D338"/>
    <mergeCell ref="D409:D415"/>
    <mergeCell ref="K409:K415"/>
    <mergeCell ref="K392:K398"/>
    <mergeCell ref="A399:K399"/>
    <mergeCell ref="A400:K400"/>
    <mergeCell ref="A401:A407"/>
    <mergeCell ref="B401:B407"/>
    <mergeCell ref="C401:C407"/>
    <mergeCell ref="D401:D407"/>
    <mergeCell ref="K401:K407"/>
    <mergeCell ref="A392:A398"/>
    <mergeCell ref="B392:B398"/>
    <mergeCell ref="C392:C398"/>
    <mergeCell ref="D392:D398"/>
    <mergeCell ref="K380:K386"/>
    <mergeCell ref="K357:K363"/>
    <mergeCell ref="A245:K245"/>
    <mergeCell ref="A246:A252"/>
    <mergeCell ref="B246:B252"/>
    <mergeCell ref="C246:C252"/>
    <mergeCell ref="D246:D252"/>
    <mergeCell ref="K246:K252"/>
    <mergeCell ref="A273:D273"/>
    <mergeCell ref="A274:K274"/>
    <mergeCell ref="A275:K275"/>
    <mergeCell ref="D268:D272"/>
    <mergeCell ref="K268:K272"/>
    <mergeCell ref="B276:B282"/>
    <mergeCell ref="C276:C282"/>
    <mergeCell ref="D276:D282"/>
    <mergeCell ref="A263:A267"/>
    <mergeCell ref="B263:B267"/>
    <mergeCell ref="C263:C267"/>
    <mergeCell ref="D263:D267"/>
    <mergeCell ref="K263:K267"/>
    <mergeCell ref="A268:A272"/>
    <mergeCell ref="B268:B272"/>
    <mergeCell ref="K276:K282"/>
    <mergeCell ref="B239:B244"/>
    <mergeCell ref="A288:K288"/>
    <mergeCell ref="A289:A295"/>
    <mergeCell ref="B289:B295"/>
    <mergeCell ref="C289:C295"/>
    <mergeCell ref="A232:A238"/>
    <mergeCell ref="B232:B238"/>
    <mergeCell ref="C232:C238"/>
    <mergeCell ref="D232:D238"/>
    <mergeCell ref="K232:K238"/>
    <mergeCell ref="A253:A257"/>
    <mergeCell ref="B253:B257"/>
    <mergeCell ref="C253:C257"/>
    <mergeCell ref="D253:D257"/>
    <mergeCell ref="K253:K257"/>
    <mergeCell ref="A258:A262"/>
    <mergeCell ref="B258:B262"/>
    <mergeCell ref="C258:C262"/>
    <mergeCell ref="D258:D262"/>
    <mergeCell ref="K258:K262"/>
    <mergeCell ref="A283:A287"/>
    <mergeCell ref="K239:K244"/>
    <mergeCell ref="C268:C272"/>
    <mergeCell ref="A276:A282"/>
    <mergeCell ref="K209:K213"/>
    <mergeCell ref="B215:B221"/>
    <mergeCell ref="B209:B213"/>
    <mergeCell ref="C209:C213"/>
    <mergeCell ref="D209:D213"/>
    <mergeCell ref="A231:K231"/>
    <mergeCell ref="A215:A221"/>
    <mergeCell ref="A209:A213"/>
    <mergeCell ref="C215:C221"/>
    <mergeCell ref="D215:D221"/>
    <mergeCell ref="K215:K221"/>
    <mergeCell ref="A222:A224"/>
    <mergeCell ref="B222:B224"/>
    <mergeCell ref="C222:C224"/>
    <mergeCell ref="D222:D224"/>
    <mergeCell ref="K222:K224"/>
    <mergeCell ref="A225:A226"/>
    <mergeCell ref="B225:B226"/>
    <mergeCell ref="C225:C226"/>
    <mergeCell ref="A227:A228"/>
    <mergeCell ref="B227:B228"/>
    <mergeCell ref="C227:C228"/>
    <mergeCell ref="D227:D228"/>
    <mergeCell ref="K227:K228"/>
    <mergeCell ref="H1:K1"/>
    <mergeCell ref="H2:K2"/>
    <mergeCell ref="E10:E11"/>
    <mergeCell ref="F10:J10"/>
    <mergeCell ref="A14:K14"/>
    <mergeCell ref="A15:K15"/>
    <mergeCell ref="A13:K13"/>
    <mergeCell ref="A10:A11"/>
    <mergeCell ref="B10:B11"/>
    <mergeCell ref="A5:K5"/>
    <mergeCell ref="A6:K6"/>
    <mergeCell ref="A7:K7"/>
    <mergeCell ref="K10:K11"/>
    <mergeCell ref="C10:C11"/>
    <mergeCell ref="D10:D11"/>
    <mergeCell ref="A16:A22"/>
    <mergeCell ref="B16:B22"/>
    <mergeCell ref="W30:Z30"/>
    <mergeCell ref="A31:K31"/>
    <mergeCell ref="A32:A38"/>
    <mergeCell ref="B32:B38"/>
    <mergeCell ref="C32:C38"/>
    <mergeCell ref="L30:N30"/>
    <mergeCell ref="O30:R30"/>
    <mergeCell ref="S30:V30"/>
    <mergeCell ref="A30:D30"/>
    <mergeCell ref="D32:D38"/>
    <mergeCell ref="A23:A29"/>
    <mergeCell ref="B23:B29"/>
    <mergeCell ref="C23:C29"/>
    <mergeCell ref="D23:D29"/>
    <mergeCell ref="K23:K29"/>
    <mergeCell ref="C16:C22"/>
    <mergeCell ref="D16:D22"/>
    <mergeCell ref="K16:K22"/>
    <mergeCell ref="K32:K52"/>
    <mergeCell ref="D39:D45"/>
    <mergeCell ref="A81:D81"/>
    <mergeCell ref="A82:K82"/>
    <mergeCell ref="A83:A89"/>
    <mergeCell ref="B83:B89"/>
    <mergeCell ref="C83:C89"/>
    <mergeCell ref="D83:D89"/>
    <mergeCell ref="K83:K89"/>
    <mergeCell ref="A76:A80"/>
    <mergeCell ref="B76:B80"/>
    <mergeCell ref="C76:C80"/>
    <mergeCell ref="D76:D80"/>
    <mergeCell ref="K76:K80"/>
    <mergeCell ref="A97:D97"/>
    <mergeCell ref="A98:K98"/>
    <mergeCell ref="C90:C96"/>
    <mergeCell ref="D90:D96"/>
    <mergeCell ref="A90:A96"/>
    <mergeCell ref="B90:B96"/>
    <mergeCell ref="K90:K96"/>
    <mergeCell ref="A114:D114"/>
    <mergeCell ref="A115:K115"/>
    <mergeCell ref="A116:K116"/>
    <mergeCell ref="A117:A123"/>
    <mergeCell ref="B117:B123"/>
    <mergeCell ref="C117:C123"/>
    <mergeCell ref="D117:D123"/>
    <mergeCell ref="K117:K123"/>
    <mergeCell ref="A99:A105"/>
    <mergeCell ref="B99:B105"/>
    <mergeCell ref="C99:C105"/>
    <mergeCell ref="D99:D105"/>
    <mergeCell ref="K99:K105"/>
    <mergeCell ref="A106:K106"/>
    <mergeCell ref="A107:A113"/>
    <mergeCell ref="B107:B113"/>
    <mergeCell ref="C107:C113"/>
    <mergeCell ref="D107:D113"/>
    <mergeCell ref="K107:K113"/>
    <mergeCell ref="A124:E124"/>
    <mergeCell ref="F124:J124"/>
    <mergeCell ref="A125:K125"/>
    <mergeCell ref="A126:K126"/>
    <mergeCell ref="K127:K133"/>
    <mergeCell ref="A134:A140"/>
    <mergeCell ref="B134:B140"/>
    <mergeCell ref="C134:C140"/>
    <mergeCell ref="D134:D140"/>
    <mergeCell ref="K134:K140"/>
    <mergeCell ref="D178:D184"/>
    <mergeCell ref="A178:A184"/>
    <mergeCell ref="K143:K156"/>
    <mergeCell ref="A150:A156"/>
    <mergeCell ref="B150:B156"/>
    <mergeCell ref="C150:C156"/>
    <mergeCell ref="D150:D156"/>
    <mergeCell ref="A127:A133"/>
    <mergeCell ref="B127:B133"/>
    <mergeCell ref="C127:C133"/>
    <mergeCell ref="D127:D133"/>
    <mergeCell ref="A141:K141"/>
    <mergeCell ref="A142:K142"/>
    <mergeCell ref="K185:K190"/>
    <mergeCell ref="A191:D191"/>
    <mergeCell ref="D171:D177"/>
    <mergeCell ref="F171:J177"/>
    <mergeCell ref="A143:A149"/>
    <mergeCell ref="B143:B149"/>
    <mergeCell ref="C143:C149"/>
    <mergeCell ref="D143:D149"/>
    <mergeCell ref="K157:K163"/>
    <mergeCell ref="A164:A170"/>
    <mergeCell ref="B164:B170"/>
    <mergeCell ref="C164:C170"/>
    <mergeCell ref="D164:D170"/>
    <mergeCell ref="K164:K170"/>
    <mergeCell ref="A157:A163"/>
    <mergeCell ref="B157:B163"/>
    <mergeCell ref="C157:C163"/>
    <mergeCell ref="D157:D163"/>
    <mergeCell ref="K171:K184"/>
    <mergeCell ref="A171:A177"/>
    <mergeCell ref="B171:B177"/>
    <mergeCell ref="C171:C177"/>
    <mergeCell ref="B178:B184"/>
    <mergeCell ref="C178:C184"/>
    <mergeCell ref="C195:C201"/>
    <mergeCell ref="D195:D201"/>
    <mergeCell ref="A202:A208"/>
    <mergeCell ref="B202:B208"/>
    <mergeCell ref="C202:C208"/>
    <mergeCell ref="D202:D208"/>
    <mergeCell ref="B185:B190"/>
    <mergeCell ref="A185:A190"/>
    <mergeCell ref="C185:C190"/>
    <mergeCell ref="D185:D190"/>
    <mergeCell ref="A445:D445"/>
    <mergeCell ref="A437:A442"/>
    <mergeCell ref="K416:K422"/>
    <mergeCell ref="A423:A429"/>
    <mergeCell ref="B423:B429"/>
    <mergeCell ref="C423:C429"/>
    <mergeCell ref="D423:D429"/>
    <mergeCell ref="K423:K429"/>
    <mergeCell ref="A416:A422"/>
    <mergeCell ref="B416:B422"/>
    <mergeCell ref="C416:C422"/>
    <mergeCell ref="D416:D422"/>
    <mergeCell ref="A430:A436"/>
    <mergeCell ref="B430:B436"/>
    <mergeCell ref="C430:C436"/>
    <mergeCell ref="D430:D436"/>
    <mergeCell ref="K437:K442"/>
    <mergeCell ref="K430:K436"/>
    <mergeCell ref="A443:A444"/>
    <mergeCell ref="B443:B444"/>
    <mergeCell ref="C443:C444"/>
    <mergeCell ref="D443:D444"/>
    <mergeCell ref="K443:K444"/>
    <mergeCell ref="A470:D470"/>
    <mergeCell ref="A471:K471"/>
    <mergeCell ref="K463:K469"/>
    <mergeCell ref="C455:C461"/>
    <mergeCell ref="A463:A469"/>
    <mergeCell ref="B463:B469"/>
    <mergeCell ref="C463:C469"/>
    <mergeCell ref="D463:D469"/>
    <mergeCell ref="A462:K462"/>
    <mergeCell ref="K448:K461"/>
    <mergeCell ref="D455:D461"/>
    <mergeCell ref="B448:B454"/>
    <mergeCell ref="A448:A454"/>
    <mergeCell ref="A455:A461"/>
    <mergeCell ref="B455:B461"/>
    <mergeCell ref="A512:K512"/>
    <mergeCell ref="A513:A517"/>
    <mergeCell ref="B513:B517"/>
    <mergeCell ref="C513:C517"/>
    <mergeCell ref="A511:D511"/>
    <mergeCell ref="A521:K521"/>
    <mergeCell ref="A472:K472"/>
    <mergeCell ref="A473:A479"/>
    <mergeCell ref="B473:B479"/>
    <mergeCell ref="C473:C479"/>
    <mergeCell ref="D473:D479"/>
    <mergeCell ref="K473:K493"/>
    <mergeCell ref="A487:A493"/>
    <mergeCell ref="B487:B493"/>
    <mergeCell ref="C487:C493"/>
    <mergeCell ref="D487:D493"/>
    <mergeCell ref="A480:A486"/>
    <mergeCell ref="B480:B486"/>
    <mergeCell ref="C480:C486"/>
    <mergeCell ref="D480:D486"/>
    <mergeCell ref="D513:D517"/>
    <mergeCell ref="K513:K517"/>
    <mergeCell ref="A518:D518"/>
    <mergeCell ref="A519:D519"/>
    <mergeCell ref="K747:K753"/>
    <mergeCell ref="A719:D719"/>
    <mergeCell ref="A720:D720"/>
    <mergeCell ref="A721:D721"/>
    <mergeCell ref="A746:D753"/>
    <mergeCell ref="D712:D718"/>
    <mergeCell ref="A710:D710"/>
    <mergeCell ref="A711:K711"/>
    <mergeCell ref="A712:A718"/>
    <mergeCell ref="B712:B718"/>
    <mergeCell ref="C712:C718"/>
    <mergeCell ref="K712:K718"/>
    <mergeCell ref="A730:K730"/>
    <mergeCell ref="A731:A735"/>
    <mergeCell ref="B731:B735"/>
    <mergeCell ref="C731:C735"/>
    <mergeCell ref="D731:D735"/>
    <mergeCell ref="K731:K735"/>
    <mergeCell ref="D738:D742"/>
    <mergeCell ref="K738:K742"/>
    <mergeCell ref="A743:D743"/>
    <mergeCell ref="A744:D744"/>
    <mergeCell ref="A745:D745"/>
    <mergeCell ref="A722:K722"/>
    <mergeCell ref="A729:D729"/>
    <mergeCell ref="A736:D736"/>
    <mergeCell ref="A737:K737"/>
    <mergeCell ref="A738:A742"/>
    <mergeCell ref="B738:B742"/>
    <mergeCell ref="C738:C742"/>
    <mergeCell ref="B661:B667"/>
    <mergeCell ref="C661:C667"/>
    <mergeCell ref="A703:A709"/>
    <mergeCell ref="B703:B709"/>
    <mergeCell ref="C703:C709"/>
    <mergeCell ref="A696:A702"/>
    <mergeCell ref="A680:K680"/>
    <mergeCell ref="A681:K681"/>
    <mergeCell ref="A678:D678"/>
    <mergeCell ref="A689:A695"/>
    <mergeCell ref="B689:B695"/>
    <mergeCell ref="C689:C695"/>
    <mergeCell ref="A682:A688"/>
    <mergeCell ref="B682:B688"/>
    <mergeCell ref="C682:C688"/>
    <mergeCell ref="D661:D667"/>
    <mergeCell ref="A668:D668"/>
    <mergeCell ref="D682:D688"/>
    <mergeCell ref="A677:D677"/>
    <mergeCell ref="K670:K676"/>
    <mergeCell ref="D670:D676"/>
    <mergeCell ref="A633:A639"/>
    <mergeCell ref="B633:B639"/>
    <mergeCell ref="C633:C639"/>
    <mergeCell ref="D633:D639"/>
    <mergeCell ref="A640:A646"/>
    <mergeCell ref="B640:B646"/>
    <mergeCell ref="A654:A660"/>
    <mergeCell ref="B654:B660"/>
    <mergeCell ref="C654:C660"/>
    <mergeCell ref="D654:D660"/>
    <mergeCell ref="A647:A653"/>
    <mergeCell ref="A582:D582"/>
    <mergeCell ref="A616:D616"/>
    <mergeCell ref="A602:A608"/>
    <mergeCell ref="B602:B608"/>
    <mergeCell ref="C602:C608"/>
    <mergeCell ref="A609:A615"/>
    <mergeCell ref="B609:B615"/>
    <mergeCell ref="C609:C615"/>
    <mergeCell ref="D609:D615"/>
    <mergeCell ref="D602:D608"/>
    <mergeCell ref="A583:K583"/>
    <mergeCell ref="A584:K584"/>
    <mergeCell ref="D585:D591"/>
    <mergeCell ref="K585:K591"/>
    <mergeCell ref="A619:A625"/>
    <mergeCell ref="B619:B625"/>
    <mergeCell ref="A600:K600"/>
    <mergeCell ref="K592:K598"/>
    <mergeCell ref="A585:A591"/>
    <mergeCell ref="B585:B591"/>
    <mergeCell ref="C585:C591"/>
    <mergeCell ref="A601:K601"/>
    <mergeCell ref="K661:K667"/>
    <mergeCell ref="A661:A667"/>
    <mergeCell ref="C619:C625"/>
    <mergeCell ref="D619:D625"/>
    <mergeCell ref="K619:K632"/>
    <mergeCell ref="A617:K617"/>
    <mergeCell ref="A618:K618"/>
    <mergeCell ref="B647:B653"/>
    <mergeCell ref="C647:C653"/>
    <mergeCell ref="D647:D653"/>
    <mergeCell ref="C640:C646"/>
    <mergeCell ref="D640:D646"/>
    <mergeCell ref="B626:B632"/>
    <mergeCell ref="K568:K574"/>
    <mergeCell ref="K575:K581"/>
    <mergeCell ref="K554:K560"/>
    <mergeCell ref="C523:C529"/>
    <mergeCell ref="D523:D529"/>
    <mergeCell ref="K523:K550"/>
    <mergeCell ref="A537:A543"/>
    <mergeCell ref="B537:B543"/>
    <mergeCell ref="D544:D550"/>
    <mergeCell ref="A561:A567"/>
    <mergeCell ref="A568:A574"/>
    <mergeCell ref="B568:B574"/>
    <mergeCell ref="C568:C574"/>
    <mergeCell ref="D554:D560"/>
    <mergeCell ref="A575:A581"/>
    <mergeCell ref="B575:B581"/>
    <mergeCell ref="C575:C581"/>
    <mergeCell ref="D575:D581"/>
    <mergeCell ref="B544:B550"/>
    <mergeCell ref="C544:C550"/>
    <mergeCell ref="B554:B560"/>
    <mergeCell ref="C554:C560"/>
    <mergeCell ref="A544:A550"/>
    <mergeCell ref="A551:D551"/>
    <mergeCell ref="A552:K552"/>
    <mergeCell ref="A553:K553"/>
    <mergeCell ref="K494:K500"/>
    <mergeCell ref="A501:D501"/>
    <mergeCell ref="A502:K502"/>
    <mergeCell ref="A503:K503"/>
    <mergeCell ref="A494:A500"/>
    <mergeCell ref="B494:B500"/>
    <mergeCell ref="C494:C500"/>
    <mergeCell ref="D494:D500"/>
    <mergeCell ref="C537:C543"/>
    <mergeCell ref="D537:D543"/>
    <mergeCell ref="K504:K510"/>
    <mergeCell ref="A504:A510"/>
    <mergeCell ref="B504:B510"/>
    <mergeCell ref="C504:C510"/>
    <mergeCell ref="D504:D510"/>
    <mergeCell ref="A530:A536"/>
    <mergeCell ref="B530:B536"/>
    <mergeCell ref="C530:C536"/>
    <mergeCell ref="D530:D536"/>
    <mergeCell ref="A522:K522"/>
    <mergeCell ref="A523:A529"/>
    <mergeCell ref="B523:B529"/>
    <mergeCell ref="M92:O92"/>
    <mergeCell ref="M240:O240"/>
    <mergeCell ref="D46:D48"/>
    <mergeCell ref="A388:D388"/>
    <mergeCell ref="A390:K390"/>
    <mergeCell ref="A391:K391"/>
    <mergeCell ref="A380:A386"/>
    <mergeCell ref="K311:K317"/>
    <mergeCell ref="K318:K324"/>
    <mergeCell ref="A325:A331"/>
    <mergeCell ref="B325:B331"/>
    <mergeCell ref="C325:C331"/>
    <mergeCell ref="D318:D324"/>
    <mergeCell ref="A355:D355"/>
    <mergeCell ref="K332:K338"/>
    <mergeCell ref="D325:D331"/>
    <mergeCell ref="K325:K331"/>
    <mergeCell ref="C239:C244"/>
    <mergeCell ref="D239:D244"/>
    <mergeCell ref="A239:A244"/>
    <mergeCell ref="K301:K307"/>
    <mergeCell ref="C301:C307"/>
    <mergeCell ref="D301:D307"/>
    <mergeCell ref="A309:K309"/>
    <mergeCell ref="A54:K54"/>
    <mergeCell ref="A39:A45"/>
    <mergeCell ref="B39:B45"/>
    <mergeCell ref="A55:A61"/>
    <mergeCell ref="C46:C48"/>
    <mergeCell ref="A49:A50"/>
    <mergeCell ref="B49:B50"/>
    <mergeCell ref="C49:C50"/>
    <mergeCell ref="D49:D50"/>
    <mergeCell ref="B55:B61"/>
    <mergeCell ref="C55:C61"/>
    <mergeCell ref="D55:D61"/>
    <mergeCell ref="K55:K68"/>
    <mergeCell ref="A62:A68"/>
    <mergeCell ref="A53:D53"/>
    <mergeCell ref="C39:C45"/>
    <mergeCell ref="A46:A48"/>
    <mergeCell ref="B46:B48"/>
    <mergeCell ref="A51:A52"/>
    <mergeCell ref="B51:B52"/>
    <mergeCell ref="C51:C52"/>
    <mergeCell ref="D51:D52"/>
    <mergeCell ref="D289:D295"/>
    <mergeCell ref="K289:K295"/>
    <mergeCell ref="A308:D308"/>
    <mergeCell ref="A310:K310"/>
    <mergeCell ref="A301:A307"/>
    <mergeCell ref="B301:B307"/>
    <mergeCell ref="B62:B68"/>
    <mergeCell ref="C62:C68"/>
    <mergeCell ref="D62:D68"/>
    <mergeCell ref="A69:A75"/>
    <mergeCell ref="B69:B75"/>
    <mergeCell ref="C69:C75"/>
    <mergeCell ref="D69:D75"/>
    <mergeCell ref="K69:K75"/>
    <mergeCell ref="D225:D226"/>
    <mergeCell ref="K225:K226"/>
    <mergeCell ref="F178:J183"/>
    <mergeCell ref="K202:K208"/>
    <mergeCell ref="A192:D192"/>
    <mergeCell ref="A193:K193"/>
    <mergeCell ref="A194:K194"/>
    <mergeCell ref="K195:K201"/>
    <mergeCell ref="A195:A201"/>
    <mergeCell ref="B195:B201"/>
    <mergeCell ref="A296:A300"/>
    <mergeCell ref="B296:B300"/>
    <mergeCell ref="C296:C300"/>
    <mergeCell ref="D296:D300"/>
    <mergeCell ref="K296:K300"/>
    <mergeCell ref="B311:B317"/>
    <mergeCell ref="C311:C317"/>
    <mergeCell ref="D311:D317"/>
    <mergeCell ref="A339:A344"/>
    <mergeCell ref="B339:B344"/>
    <mergeCell ref="C339:C344"/>
    <mergeCell ref="D339:D344"/>
    <mergeCell ref="K339:K344"/>
    <mergeCell ref="A318:A324"/>
    <mergeCell ref="B318:B324"/>
    <mergeCell ref="C318:C324"/>
    <mergeCell ref="A311:A317"/>
    <mergeCell ref="C229:C230"/>
    <mergeCell ref="D229:D230"/>
    <mergeCell ref="A350:A354"/>
    <mergeCell ref="B350:B354"/>
    <mergeCell ref="C350:C354"/>
    <mergeCell ref="D350:D354"/>
    <mergeCell ref="C448:C454"/>
    <mergeCell ref="D448:D454"/>
    <mergeCell ref="A446:K446"/>
    <mergeCell ref="A447:K447"/>
    <mergeCell ref="C437:C442"/>
    <mergeCell ref="D437:D442"/>
    <mergeCell ref="B437:B442"/>
    <mergeCell ref="A356:E356"/>
    <mergeCell ref="A357:A363"/>
    <mergeCell ref="B357:B363"/>
    <mergeCell ref="C357:C363"/>
    <mergeCell ref="D357:D363"/>
    <mergeCell ref="A387:D387"/>
    <mergeCell ref="K350:K354"/>
    <mergeCell ref="B283:B287"/>
    <mergeCell ref="C283:C287"/>
    <mergeCell ref="D283:D287"/>
    <mergeCell ref="K283:K287"/>
    <mergeCell ref="D568:D574"/>
    <mergeCell ref="B561:B567"/>
    <mergeCell ref="C561:C567"/>
    <mergeCell ref="D561:D567"/>
    <mergeCell ref="K561:K567"/>
    <mergeCell ref="A554:A560"/>
    <mergeCell ref="K229:K230"/>
    <mergeCell ref="A669:K669"/>
    <mergeCell ref="B670:B676"/>
    <mergeCell ref="A670:A676"/>
    <mergeCell ref="E674:E676"/>
    <mergeCell ref="F674:F676"/>
    <mergeCell ref="G674:G676"/>
    <mergeCell ref="H674:H676"/>
    <mergeCell ref="I674:I676"/>
    <mergeCell ref="J674:J676"/>
    <mergeCell ref="A345:A349"/>
    <mergeCell ref="B345:B349"/>
    <mergeCell ref="C345:C349"/>
    <mergeCell ref="D345:D349"/>
    <mergeCell ref="K345:K349"/>
    <mergeCell ref="A364:A368"/>
    <mergeCell ref="A229:A230"/>
    <mergeCell ref="B229:B230"/>
  </mergeCells>
  <phoneticPr fontId="0" type="noConversion"/>
  <pageMargins left="0.74803149606299213" right="0.55118110236220474" top="0.78740157480314965" bottom="0.78740157480314965" header="0.51181102362204722" footer="0.51181102362204722"/>
  <pageSetup paperSize="9" scale="73" orientation="landscape" r:id="rId1"/>
  <headerFooter alignWithMargins="0"/>
  <rowBreaks count="23" manualBreakCount="23">
    <brk id="30" max="10" man="1"/>
    <brk id="50" max="10" man="1"/>
    <brk id="53" max="10" man="1"/>
    <brk id="81" max="10" man="1"/>
    <brk id="124" max="10" man="1"/>
    <brk id="156" max="10" man="1"/>
    <brk id="192" max="10" man="1"/>
    <brk id="224" max="10" man="1"/>
    <brk id="262" max="10" man="1"/>
    <brk id="273" max="10" man="1"/>
    <brk id="308" max="10" man="1"/>
    <brk id="344" max="10" man="1"/>
    <brk id="378" max="10" man="1"/>
    <brk id="389" max="10" man="1"/>
    <brk id="429" max="10" man="1"/>
    <brk id="470" max="10" man="1"/>
    <brk id="517" max="10" man="1"/>
    <brk id="520" max="10" man="1"/>
    <brk id="551" max="10" man="1"/>
    <brk id="591" max="10" man="1"/>
    <brk id="632" max="10" man="1"/>
    <brk id="677" max="10" man="1"/>
    <brk id="745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декабрь</vt:lpstr>
      <vt:lpstr>Лист2</vt:lpstr>
      <vt:lpstr>декабрь!Область_печати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Парубец Елена Анатольевна</cp:lastModifiedBy>
  <cp:lastPrinted>2017-12-27T05:27:53Z</cp:lastPrinted>
  <dcterms:created xsi:type="dcterms:W3CDTF">1996-10-08T23:32:33Z</dcterms:created>
  <dcterms:modified xsi:type="dcterms:W3CDTF">2017-12-27T05:35:26Z</dcterms:modified>
</cp:coreProperties>
</file>