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uhruk\Desktop\программа новая 2019\программа февраль 2020\"/>
    </mc:Choice>
  </mc:AlternateContent>
  <bookViews>
    <workbookView xWindow="0" yWindow="0" windowWidth="21570" windowHeight="7485"/>
  </bookViews>
  <sheets>
    <sheet name="ноябрь 2019" sheetId="1" r:id="rId1"/>
    <sheet name="Лист1" sheetId="2" r:id="rId2"/>
  </sheets>
  <definedNames>
    <definedName name="_xlnm.Print_Area" localSheetId="0">'ноябрь 2019'!$A$1:$K$1011</definedName>
  </definedNames>
  <calcPr calcId="152511"/>
</workbook>
</file>

<file path=xl/calcChain.xml><?xml version="1.0" encoding="utf-8"?>
<calcChain xmlns="http://schemas.openxmlformats.org/spreadsheetml/2006/main">
  <c r="F369" i="1" l="1"/>
  <c r="F370" i="1"/>
  <c r="I412" i="1"/>
  <c r="I405" i="1"/>
  <c r="I374" i="1"/>
  <c r="H374" i="1"/>
  <c r="F374" i="1" l="1"/>
  <c r="I1007" i="1"/>
  <c r="H1007" i="1"/>
  <c r="I1006" i="1"/>
  <c r="H1006" i="1"/>
  <c r="I1005" i="1"/>
  <c r="H1005" i="1"/>
  <c r="H151" i="1"/>
  <c r="H155" i="1"/>
  <c r="H80" i="1"/>
  <c r="H89" i="1"/>
  <c r="H45" i="1"/>
  <c r="H37" i="1"/>
  <c r="I991" i="1"/>
  <c r="I990" i="1"/>
  <c r="I989" i="1"/>
  <c r="I979" i="1"/>
  <c r="I978" i="1"/>
  <c r="I977" i="1"/>
  <c r="I967" i="1"/>
  <c r="I966" i="1"/>
  <c r="I965" i="1"/>
  <c r="I952" i="1"/>
  <c r="I951" i="1"/>
  <c r="I950" i="1"/>
  <c r="I938" i="1"/>
  <c r="I937" i="1"/>
  <c r="I936" i="1"/>
  <c r="I926" i="1"/>
  <c r="I925" i="1"/>
  <c r="I924" i="1"/>
  <c r="I914" i="1"/>
  <c r="I913" i="1"/>
  <c r="I912" i="1"/>
  <c r="I902" i="1"/>
  <c r="I901" i="1"/>
  <c r="I900" i="1"/>
  <c r="F881" i="1"/>
  <c r="F882" i="1"/>
  <c r="F883" i="1"/>
  <c r="F884" i="1"/>
  <c r="F885" i="1"/>
  <c r="F886" i="1"/>
  <c r="I871" i="1"/>
  <c r="I870" i="1"/>
  <c r="I838" i="1"/>
  <c r="I837" i="1"/>
  <c r="I826" i="1"/>
  <c r="I825" i="1"/>
  <c r="I795" i="1"/>
  <c r="I794" i="1"/>
  <c r="I783" i="1"/>
  <c r="I782" i="1"/>
  <c r="I761" i="1"/>
  <c r="I760" i="1"/>
  <c r="I732" i="1"/>
  <c r="I731" i="1"/>
  <c r="I720" i="1"/>
  <c r="I719" i="1"/>
  <c r="I718" i="1"/>
  <c r="I705" i="1"/>
  <c r="H705" i="1"/>
  <c r="H704" i="1"/>
  <c r="H703" i="1"/>
  <c r="H685" i="1"/>
  <c r="H684" i="1"/>
  <c r="H683" i="1"/>
  <c r="H673" i="1"/>
  <c r="H672" i="1"/>
  <c r="H671" i="1"/>
  <c r="H656" i="1"/>
  <c r="H655" i="1"/>
  <c r="H654" i="1"/>
  <c r="I607" i="1"/>
  <c r="I606" i="1"/>
  <c r="I575" i="1"/>
  <c r="I573" i="1"/>
  <c r="I574" i="1"/>
  <c r="I555" i="1"/>
  <c r="I539" i="1"/>
  <c r="I538" i="1"/>
  <c r="I537" i="1"/>
  <c r="I512" i="1"/>
  <c r="I511" i="1"/>
  <c r="I510" i="1"/>
  <c r="I487" i="1" l="1"/>
  <c r="H475" i="1"/>
  <c r="H474" i="1"/>
  <c r="H473" i="1"/>
  <c r="I452" i="1"/>
  <c r="I451" i="1"/>
  <c r="I450" i="1"/>
  <c r="I442" i="1"/>
  <c r="I441" i="1"/>
  <c r="I440" i="1"/>
  <c r="H418" i="1"/>
  <c r="H417" i="1"/>
  <c r="H416" i="1"/>
  <c r="I410" i="1"/>
  <c r="I401" i="1"/>
  <c r="I400" i="1"/>
  <c r="I399" i="1"/>
  <c r="H382" i="1"/>
  <c r="H381" i="1"/>
  <c r="H380" i="1"/>
  <c r="H370" i="1"/>
  <c r="I369" i="1"/>
  <c r="H369" i="1"/>
  <c r="I368" i="1"/>
  <c r="H368" i="1"/>
  <c r="H348" i="1"/>
  <c r="H347" i="1"/>
  <c r="H346" i="1"/>
  <c r="H338" i="1"/>
  <c r="H337" i="1"/>
  <c r="H336" i="1"/>
  <c r="H325" i="1"/>
  <c r="H324" i="1"/>
  <c r="H323" i="1"/>
  <c r="I315" i="1"/>
  <c r="H315" i="1"/>
  <c r="I314" i="1"/>
  <c r="H314" i="1"/>
  <c r="I313" i="1"/>
  <c r="H313" i="1"/>
  <c r="H290" i="1"/>
  <c r="H289" i="1"/>
  <c r="H288" i="1"/>
  <c r="I275" i="1"/>
  <c r="H275" i="1"/>
  <c r="I274" i="1"/>
  <c r="H274" i="1"/>
  <c r="I273" i="1"/>
  <c r="H273" i="1"/>
  <c r="I37" i="1"/>
  <c r="F37" i="1"/>
  <c r="F237" i="1"/>
  <c r="I237" i="1"/>
  <c r="H237" i="1"/>
  <c r="F236" i="1"/>
  <c r="I235" i="1"/>
  <c r="H235" i="1"/>
  <c r="I234" i="1"/>
  <c r="H234" i="1"/>
  <c r="H202" i="1"/>
  <c r="H201" i="1"/>
  <c r="H200" i="1"/>
  <c r="I163" i="1"/>
  <c r="I162" i="1"/>
  <c r="I161" i="1"/>
  <c r="H150" i="1"/>
  <c r="H149" i="1"/>
  <c r="I88" i="1" l="1"/>
  <c r="H88" i="1"/>
  <c r="H76" i="1"/>
  <c r="H75" i="1"/>
  <c r="H74" i="1"/>
  <c r="I66" i="1"/>
  <c r="I64" i="1"/>
  <c r="F36" i="1"/>
  <c r="I35" i="1"/>
  <c r="H35" i="1"/>
  <c r="I34" i="1"/>
  <c r="H34" i="1"/>
  <c r="F368" i="1" l="1"/>
  <c r="H472" i="1" l="1"/>
  <c r="I988" i="1"/>
  <c r="I976" i="1"/>
  <c r="I964" i="1"/>
  <c r="I949" i="1"/>
  <c r="I880" i="1"/>
  <c r="I807" i="1"/>
  <c r="I792" i="1"/>
  <c r="I758" i="1"/>
  <c r="I729" i="1"/>
  <c r="H702" i="1"/>
  <c r="I694" i="1"/>
  <c r="H653" i="1"/>
  <c r="I593" i="1"/>
  <c r="I572" i="1"/>
  <c r="I536" i="1"/>
  <c r="I509" i="1"/>
  <c r="I484" i="1"/>
  <c r="H415" i="1"/>
  <c r="I398" i="1"/>
  <c r="H379" i="1"/>
  <c r="I367" i="1"/>
  <c r="H367" i="1"/>
  <c r="H322" i="1"/>
  <c r="I312" i="1"/>
  <c r="H312" i="1"/>
  <c r="I297" i="1"/>
  <c r="I287" i="1"/>
  <c r="H287" i="1"/>
  <c r="I272" i="1"/>
  <c r="H272" i="1"/>
  <c r="I263" i="1"/>
  <c r="I233" i="1"/>
  <c r="H233" i="1"/>
  <c r="I215" i="1"/>
  <c r="I160" i="1"/>
  <c r="H148" i="1"/>
  <c r="I94" i="1"/>
  <c r="H73" i="1"/>
  <c r="I63" i="1"/>
  <c r="I33" i="1"/>
  <c r="J912" i="1" l="1"/>
  <c r="I911" i="1" l="1"/>
  <c r="I899" i="1"/>
  <c r="H887" i="1"/>
  <c r="H890" i="1" s="1"/>
  <c r="F880" i="1"/>
  <c r="I887" i="1"/>
  <c r="I890" i="1" s="1"/>
  <c r="I717" i="1"/>
  <c r="I554" i="1"/>
  <c r="I425" i="1"/>
  <c r="I409" i="1"/>
  <c r="F367" i="1"/>
  <c r="H345" i="1"/>
  <c r="H335" i="1"/>
  <c r="H199" i="1"/>
  <c r="F887" i="1" l="1"/>
  <c r="F890" i="1" s="1"/>
  <c r="D5" i="2"/>
  <c r="C5" i="2"/>
  <c r="P1001" i="1" l="1"/>
  <c r="J911" i="1" l="1"/>
  <c r="I935" i="1"/>
  <c r="J923" i="1"/>
  <c r="I923" i="1"/>
  <c r="J899" i="1"/>
  <c r="J1004" i="1" s="1"/>
  <c r="I868" i="1"/>
  <c r="H670" i="1"/>
  <c r="C3" i="2"/>
  <c r="C7" i="2" s="1"/>
  <c r="F44" i="1"/>
  <c r="H33" i="1"/>
  <c r="B5" i="2" l="1"/>
  <c r="I1010" i="1"/>
  <c r="H1010" i="1"/>
  <c r="I1009" i="1"/>
  <c r="H1009" i="1"/>
  <c r="I1008" i="1"/>
  <c r="H1008" i="1"/>
  <c r="J1010" i="1" l="1"/>
  <c r="F1010" i="1" s="1"/>
  <c r="J1009" i="1"/>
  <c r="F1009" i="1" s="1"/>
  <c r="J1008" i="1"/>
  <c r="F1008" i="1" s="1"/>
  <c r="J1007" i="1"/>
  <c r="J1005" i="1"/>
  <c r="F994" i="1"/>
  <c r="F993" i="1"/>
  <c r="F992" i="1"/>
  <c r="F991" i="1"/>
  <c r="F990" i="1"/>
  <c r="F982" i="1"/>
  <c r="F981" i="1"/>
  <c r="F980" i="1"/>
  <c r="F979" i="1"/>
  <c r="F978" i="1"/>
  <c r="F970" i="1"/>
  <c r="F969" i="1"/>
  <c r="F968" i="1"/>
  <c r="F967" i="1"/>
  <c r="F966" i="1"/>
  <c r="F955" i="1"/>
  <c r="F954" i="1"/>
  <c r="F953" i="1"/>
  <c r="F952" i="1"/>
  <c r="F951" i="1"/>
  <c r="F941" i="1"/>
  <c r="F940" i="1"/>
  <c r="F939" i="1"/>
  <c r="F938" i="1"/>
  <c r="F937" i="1"/>
  <c r="F929" i="1"/>
  <c r="F928" i="1"/>
  <c r="F927" i="1"/>
  <c r="F926" i="1"/>
  <c r="F925" i="1"/>
  <c r="F917" i="1"/>
  <c r="F916" i="1"/>
  <c r="F915" i="1"/>
  <c r="F913" i="1"/>
  <c r="F905" i="1"/>
  <c r="F904" i="1"/>
  <c r="F903" i="1"/>
  <c r="F902" i="1"/>
  <c r="F901" i="1"/>
  <c r="F869" i="1"/>
  <c r="F870" i="1"/>
  <c r="F871" i="1"/>
  <c r="F872" i="1"/>
  <c r="F873" i="1"/>
  <c r="F874" i="1"/>
  <c r="I842" i="1"/>
  <c r="F841" i="1"/>
  <c r="F840" i="1"/>
  <c r="F839" i="1"/>
  <c r="F838" i="1"/>
  <c r="F837" i="1"/>
  <c r="I830" i="1"/>
  <c r="F829" i="1"/>
  <c r="F828" i="1"/>
  <c r="F827" i="1"/>
  <c r="F826" i="1"/>
  <c r="F825" i="1"/>
  <c r="F817" i="1"/>
  <c r="F809" i="1"/>
  <c r="I799" i="1"/>
  <c r="F798" i="1"/>
  <c r="F797" i="1"/>
  <c r="F796" i="1"/>
  <c r="F795" i="1"/>
  <c r="F794" i="1"/>
  <c r="I787" i="1"/>
  <c r="F786" i="1"/>
  <c r="F785" i="1"/>
  <c r="F784" i="1"/>
  <c r="F783" i="1"/>
  <c r="F782" i="1"/>
  <c r="F764" i="1"/>
  <c r="F763" i="1"/>
  <c r="F762" i="1"/>
  <c r="F761" i="1"/>
  <c r="F760" i="1"/>
  <c r="F735" i="1"/>
  <c r="F734" i="1"/>
  <c r="F733" i="1"/>
  <c r="F732" i="1"/>
  <c r="F731" i="1"/>
  <c r="F723" i="1"/>
  <c r="F722" i="1"/>
  <c r="F721" i="1"/>
  <c r="F720" i="1"/>
  <c r="F719" i="1"/>
  <c r="F708" i="1"/>
  <c r="F707" i="1"/>
  <c r="F706" i="1"/>
  <c r="P705" i="1"/>
  <c r="S705" i="1" s="1"/>
  <c r="F705" i="1"/>
  <c r="F704" i="1"/>
  <c r="F696" i="1"/>
  <c r="F688" i="1"/>
  <c r="F687" i="1"/>
  <c r="F686" i="1"/>
  <c r="F685" i="1"/>
  <c r="F684" i="1"/>
  <c r="F676" i="1"/>
  <c r="F675" i="1"/>
  <c r="F674" i="1"/>
  <c r="F673" i="1"/>
  <c r="F672" i="1"/>
  <c r="F659" i="1"/>
  <c r="F658" i="1"/>
  <c r="I657" i="1"/>
  <c r="F657" i="1" s="1"/>
  <c r="F656" i="1"/>
  <c r="F655" i="1"/>
  <c r="F647" i="1"/>
  <c r="F646" i="1"/>
  <c r="F645" i="1"/>
  <c r="F644" i="1"/>
  <c r="F643" i="1"/>
  <c r="F633" i="1"/>
  <c r="F625" i="1"/>
  <c r="F610" i="1"/>
  <c r="F609" i="1"/>
  <c r="F608" i="1"/>
  <c r="F607" i="1"/>
  <c r="F606" i="1"/>
  <c r="F595" i="1"/>
  <c r="F586" i="1"/>
  <c r="F578" i="1"/>
  <c r="F577" i="1"/>
  <c r="F576" i="1"/>
  <c r="F575" i="1"/>
  <c r="F574" i="1"/>
  <c r="F562" i="1"/>
  <c r="F563" i="1"/>
  <c r="F561" i="1"/>
  <c r="I564" i="1"/>
  <c r="H564" i="1"/>
  <c r="J564" i="1"/>
  <c r="F556" i="1"/>
  <c r="F542" i="1"/>
  <c r="F541" i="1"/>
  <c r="F540" i="1"/>
  <c r="F539" i="1"/>
  <c r="F538" i="1"/>
  <c r="F515" i="1"/>
  <c r="F514" i="1"/>
  <c r="F513" i="1"/>
  <c r="F512" i="1"/>
  <c r="F511" i="1"/>
  <c r="F490" i="1"/>
  <c r="F489" i="1"/>
  <c r="F488" i="1"/>
  <c r="F487" i="1"/>
  <c r="F486" i="1"/>
  <c r="F478" i="1"/>
  <c r="F477" i="1"/>
  <c r="F476" i="1"/>
  <c r="F475" i="1"/>
  <c r="F474" i="1"/>
  <c r="I456" i="1"/>
  <c r="F455" i="1"/>
  <c r="F454" i="1"/>
  <c r="F453" i="1"/>
  <c r="F452" i="1"/>
  <c r="F451" i="1"/>
  <c r="F445" i="1"/>
  <c r="F444" i="1"/>
  <c r="F443" i="1"/>
  <c r="F442" i="1"/>
  <c r="F441" i="1"/>
  <c r="F431" i="1"/>
  <c r="F430" i="1"/>
  <c r="F429" i="1"/>
  <c r="F428" i="1"/>
  <c r="F427" i="1"/>
  <c r="F421" i="1"/>
  <c r="F420" i="1"/>
  <c r="F419" i="1"/>
  <c r="F418" i="1"/>
  <c r="F417" i="1"/>
  <c r="F411" i="1"/>
  <c r="F404" i="1"/>
  <c r="F403" i="1"/>
  <c r="F402" i="1"/>
  <c r="F401" i="1"/>
  <c r="F400" i="1"/>
  <c r="F385" i="1"/>
  <c r="F384" i="1"/>
  <c r="F383" i="1"/>
  <c r="F382" i="1"/>
  <c r="F381" i="1"/>
  <c r="F373" i="1"/>
  <c r="F372" i="1"/>
  <c r="F371" i="1"/>
  <c r="H352" i="1"/>
  <c r="F351" i="1"/>
  <c r="F350" i="1"/>
  <c r="F349" i="1"/>
  <c r="F348" i="1"/>
  <c r="F347" i="1"/>
  <c r="F341" i="1"/>
  <c r="F340" i="1"/>
  <c r="F339" i="1"/>
  <c r="F338" i="1"/>
  <c r="F337" i="1"/>
  <c r="F328" i="1"/>
  <c r="F327" i="1"/>
  <c r="F326" i="1"/>
  <c r="F325" i="1"/>
  <c r="F324" i="1"/>
  <c r="F318" i="1"/>
  <c r="F317" i="1"/>
  <c r="F316" i="1"/>
  <c r="F315" i="1"/>
  <c r="F314" i="1"/>
  <c r="F255" i="1"/>
  <c r="F256" i="1"/>
  <c r="F257" i="1"/>
  <c r="F258" i="1"/>
  <c r="I304" i="1"/>
  <c r="F303" i="1"/>
  <c r="F302" i="1"/>
  <c r="F301" i="1"/>
  <c r="F300" i="1"/>
  <c r="F299" i="1"/>
  <c r="F293" i="1"/>
  <c r="F292" i="1"/>
  <c r="F291" i="1"/>
  <c r="F290" i="1"/>
  <c r="F289" i="1"/>
  <c r="F278" i="1"/>
  <c r="F277" i="1"/>
  <c r="F276" i="1"/>
  <c r="F275" i="1"/>
  <c r="F274" i="1"/>
  <c r="F264" i="1"/>
  <c r="F235" i="1"/>
  <c r="F218" i="1"/>
  <c r="H217" i="1"/>
  <c r="F217" i="1" l="1"/>
  <c r="D3" i="2"/>
  <c r="D7" i="2" s="1"/>
  <c r="F1007" i="1"/>
  <c r="F564" i="1"/>
  <c r="F914" i="1"/>
  <c r="O705" i="1"/>
  <c r="F205" i="1"/>
  <c r="F204" i="1"/>
  <c r="F203" i="1"/>
  <c r="F202" i="1"/>
  <c r="F201" i="1"/>
  <c r="F166" i="1"/>
  <c r="F165" i="1"/>
  <c r="F164" i="1"/>
  <c r="F163" i="1"/>
  <c r="F162" i="1"/>
  <c r="F154" i="1"/>
  <c r="F153" i="1"/>
  <c r="F152" i="1"/>
  <c r="F151" i="1"/>
  <c r="F150" i="1"/>
  <c r="F96" i="1"/>
  <c r="F88" i="1"/>
  <c r="F87" i="1"/>
  <c r="F79" i="1"/>
  <c r="F78" i="1"/>
  <c r="F77" i="1"/>
  <c r="F76" i="1"/>
  <c r="F75" i="1"/>
  <c r="F69" i="1"/>
  <c r="F68" i="1"/>
  <c r="F67" i="1"/>
  <c r="F66" i="1"/>
  <c r="F65" i="1"/>
  <c r="F35" i="1"/>
  <c r="H311" i="1" l="1"/>
  <c r="I975" i="1" l="1"/>
  <c r="I963" i="1"/>
  <c r="H701" i="1"/>
  <c r="H669" i="1"/>
  <c r="H652" i="1"/>
  <c r="I508" i="1"/>
  <c r="I311" i="1"/>
  <c r="I319" i="1" s="1"/>
  <c r="I286" i="1"/>
  <c r="H286" i="1"/>
  <c r="I271" i="1"/>
  <c r="H226" i="1"/>
  <c r="I159" i="1"/>
  <c r="H72" i="1"/>
  <c r="I757" i="1" l="1"/>
  <c r="I987" i="1" l="1"/>
  <c r="I948" i="1"/>
  <c r="I956" i="1" s="1"/>
  <c r="I934" i="1"/>
  <c r="J922" i="1"/>
  <c r="I922" i="1"/>
  <c r="J910" i="1" l="1"/>
  <c r="J1003" i="1" s="1"/>
  <c r="I910" i="1"/>
  <c r="I898" i="1"/>
  <c r="I867" i="1"/>
  <c r="I875" i="1" s="1"/>
  <c r="I716" i="1" l="1"/>
  <c r="I701" i="1"/>
  <c r="H681" i="1"/>
  <c r="I630" i="1"/>
  <c r="I583" i="1"/>
  <c r="I535" i="1"/>
  <c r="I483" i="1"/>
  <c r="I438" i="1"/>
  <c r="I424" i="1"/>
  <c r="I432" i="1" s="1"/>
  <c r="H414" i="1"/>
  <c r="I397" i="1"/>
  <c r="H366" i="1"/>
  <c r="H334" i="1"/>
  <c r="H321" i="1"/>
  <c r="H271" i="1" l="1"/>
  <c r="H279" i="1" s="1"/>
  <c r="I245" i="1"/>
  <c r="H198" i="1"/>
  <c r="H147" i="1"/>
  <c r="I62" i="1"/>
  <c r="I43" i="1" l="1"/>
  <c r="I45" i="1" s="1"/>
  <c r="I250" i="1" l="1"/>
  <c r="H250" i="1"/>
  <c r="F249" i="1"/>
  <c r="F250" i="1" s="1"/>
  <c r="H246" i="1"/>
  <c r="I246" i="1"/>
  <c r="F245" i="1"/>
  <c r="F240" i="1"/>
  <c r="G41" i="1"/>
  <c r="F40" i="1"/>
  <c r="F200" i="1" l="1"/>
  <c r="F868" i="1"/>
  <c r="F867" i="1"/>
  <c r="F555" i="1"/>
  <c r="F95" i="1"/>
  <c r="F43" i="1"/>
  <c r="I482" i="1" l="1"/>
  <c r="I491" i="1" s="1"/>
  <c r="I986" i="1" l="1"/>
  <c r="I974" i="1"/>
  <c r="I962" i="1"/>
  <c r="I983" i="1" l="1"/>
  <c r="I984" i="1"/>
  <c r="I995" i="1"/>
  <c r="I996" i="1"/>
  <c r="I971" i="1"/>
  <c r="I972" i="1"/>
  <c r="I805" i="1"/>
  <c r="I727" i="1"/>
  <c r="I736" i="1" s="1"/>
  <c r="I715" i="1"/>
  <c r="I724" i="1" s="1"/>
  <c r="I700" i="1"/>
  <c r="H700" i="1"/>
  <c r="H680" i="1"/>
  <c r="H668" i="1"/>
  <c r="H651" i="1"/>
  <c r="I534" i="1"/>
  <c r="I507" i="1"/>
  <c r="H413" i="1"/>
  <c r="H422" i="1" s="1"/>
  <c r="I396" i="1"/>
  <c r="H365" i="1"/>
  <c r="H333" i="1"/>
  <c r="H320" i="1"/>
  <c r="H329" i="1" s="1"/>
  <c r="H310" i="1"/>
  <c r="I285" i="1"/>
  <c r="I294" i="1" s="1"/>
  <c r="H285" i="1"/>
  <c r="H294" i="1" s="1"/>
  <c r="I280" i="1"/>
  <c r="I270" i="1"/>
  <c r="I261" i="1"/>
  <c r="I231" i="1"/>
  <c r="I225" i="1"/>
  <c r="H197" i="1"/>
  <c r="I158" i="1"/>
  <c r="H146" i="1"/>
  <c r="H71" i="1"/>
  <c r="I61" i="1"/>
  <c r="H42" i="1"/>
  <c r="H46" i="1"/>
  <c r="H47" i="1" s="1"/>
  <c r="I47" i="1"/>
  <c r="G47" i="1"/>
  <c r="H660" i="1" l="1"/>
  <c r="H661" i="1"/>
  <c r="F46" i="1"/>
  <c r="F47" i="1" s="1"/>
  <c r="H878" i="1"/>
  <c r="J921" i="1" l="1"/>
  <c r="J909" i="1"/>
  <c r="J897" i="1"/>
  <c r="J1002" i="1" s="1"/>
  <c r="J998" i="1" l="1"/>
  <c r="H864" i="1"/>
  <c r="H800" i="1"/>
  <c r="H773" i="1"/>
  <c r="H751" i="1"/>
  <c r="H597" i="1"/>
  <c r="H457" i="1"/>
  <c r="I360" i="1"/>
  <c r="I242" i="1" l="1"/>
  <c r="H242" i="1"/>
  <c r="I239" i="1"/>
  <c r="I241" i="1" s="1"/>
  <c r="H239" i="1"/>
  <c r="H241" i="1" s="1"/>
  <c r="F254" i="1"/>
  <c r="F507" i="1" l="1"/>
  <c r="I248" i="1"/>
  <c r="H248" i="1"/>
  <c r="F247" i="1"/>
  <c r="F248" i="1" s="1"/>
  <c r="P700" i="1"/>
  <c r="S700" i="1" s="1"/>
  <c r="I878" i="1"/>
  <c r="F866" i="1"/>
  <c r="I461" i="1"/>
  <c r="F875" i="1" l="1"/>
  <c r="F878" i="1" s="1"/>
  <c r="O700" i="1"/>
  <c r="F244" i="1" l="1"/>
  <c r="F246" i="1" s="1"/>
  <c r="H996" i="1" l="1"/>
  <c r="J995" i="1"/>
  <c r="H995" i="1"/>
  <c r="F989" i="1"/>
  <c r="F988" i="1"/>
  <c r="F987" i="1"/>
  <c r="F986" i="1"/>
  <c r="H984" i="1"/>
  <c r="H972" i="1"/>
  <c r="J983" i="1"/>
  <c r="H983" i="1"/>
  <c r="F977" i="1"/>
  <c r="F976" i="1"/>
  <c r="F975" i="1"/>
  <c r="F974" i="1"/>
  <c r="H971" i="1"/>
  <c r="F965" i="1"/>
  <c r="F964" i="1"/>
  <c r="J971" i="1"/>
  <c r="F962" i="1"/>
  <c r="F652" i="1"/>
  <c r="F654" i="1"/>
  <c r="I653" i="1"/>
  <c r="I660" i="1" s="1"/>
  <c r="H432" i="1"/>
  <c r="F426" i="1"/>
  <c r="F425" i="1"/>
  <c r="F424" i="1"/>
  <c r="F423" i="1"/>
  <c r="F298" i="1"/>
  <c r="F297" i="1"/>
  <c r="F296" i="1"/>
  <c r="F295" i="1"/>
  <c r="F485" i="1"/>
  <c r="F484" i="1"/>
  <c r="F483" i="1"/>
  <c r="F482" i="1"/>
  <c r="F984" i="1" l="1"/>
  <c r="F983" i="1"/>
  <c r="F995" i="1"/>
  <c r="F996" i="1"/>
  <c r="F491" i="1"/>
  <c r="F432" i="1"/>
  <c r="F304" i="1"/>
  <c r="H998" i="1"/>
  <c r="I998" i="1"/>
  <c r="F963" i="1"/>
  <c r="F971" i="1" s="1"/>
  <c r="F651" i="1"/>
  <c r="I661" i="1"/>
  <c r="F653" i="1"/>
  <c r="F972" i="1" l="1"/>
  <c r="F998" i="1" s="1"/>
  <c r="F661" i="1"/>
  <c r="F660" i="1"/>
  <c r="I559" i="1"/>
  <c r="F559" i="1" s="1"/>
  <c r="F558" i="1"/>
  <c r="F450" i="1"/>
  <c r="F449" i="1"/>
  <c r="F448" i="1"/>
  <c r="F447" i="1"/>
  <c r="I422" i="1"/>
  <c r="F416" i="1"/>
  <c r="F415" i="1"/>
  <c r="F414" i="1"/>
  <c r="F413" i="1"/>
  <c r="F346" i="1"/>
  <c r="F345" i="1"/>
  <c r="F343" i="1"/>
  <c r="F323" i="1"/>
  <c r="F322" i="1"/>
  <c r="F320" i="1"/>
  <c r="F288" i="1"/>
  <c r="F287" i="1"/>
  <c r="F286" i="1"/>
  <c r="F285" i="1"/>
  <c r="F283" i="1"/>
  <c r="F282" i="1"/>
  <c r="F281" i="1"/>
  <c r="I284" i="1"/>
  <c r="F74" i="1"/>
  <c r="F73" i="1"/>
  <c r="F72" i="1"/>
  <c r="F71" i="1"/>
  <c r="G45" i="1"/>
  <c r="F456" i="1" l="1"/>
  <c r="F422" i="1"/>
  <c r="F294" i="1"/>
  <c r="F80" i="1"/>
  <c r="F344" i="1"/>
  <c r="F352" i="1" s="1"/>
  <c r="F321" i="1"/>
  <c r="F329" i="1" s="1"/>
  <c r="F280" i="1"/>
  <c r="F284" i="1" s="1"/>
  <c r="F42" i="1"/>
  <c r="F45" i="1" s="1"/>
  <c r="I243" i="1"/>
  <c r="H243" i="1"/>
  <c r="F242" i="1"/>
  <c r="F243" i="1" s="1"/>
  <c r="J896" i="1" l="1"/>
  <c r="I896" i="1"/>
  <c r="I906" i="1" s="1"/>
  <c r="J906" i="1" l="1"/>
  <c r="I755" i="1"/>
  <c r="I765" i="1" s="1"/>
  <c r="H699" i="1"/>
  <c r="I581" i="1"/>
  <c r="I620" i="1"/>
  <c r="I590" i="1"/>
  <c r="I569" i="1"/>
  <c r="I579" i="1" s="1"/>
  <c r="I506" i="1"/>
  <c r="I460" i="1"/>
  <c r="I436" i="1"/>
  <c r="I446" i="1" s="1"/>
  <c r="I230" i="1"/>
  <c r="I157" i="1"/>
  <c r="I60" i="1"/>
  <c r="I269" i="1" l="1"/>
  <c r="F407" i="1" l="1"/>
  <c r="F408" i="1"/>
  <c r="F409" i="1"/>
  <c r="F410" i="1"/>
  <c r="H640" i="1" l="1"/>
  <c r="F536" i="1"/>
  <c r="F509" i="1"/>
  <c r="F379" i="1"/>
  <c r="H253" i="1"/>
  <c r="H259" i="1" s="1"/>
  <c r="H232" i="1"/>
  <c r="I232" i="1"/>
  <c r="H215" i="1"/>
  <c r="H1004" i="1" s="1"/>
  <c r="I112" i="1"/>
  <c r="I111" i="1"/>
  <c r="I104" i="1"/>
  <c r="I1004" i="1" s="1"/>
  <c r="H85" i="1"/>
  <c r="I85" i="1"/>
  <c r="I1002" i="1" s="1"/>
  <c r="I32" i="1"/>
  <c r="H32" i="1"/>
  <c r="I38" i="1"/>
  <c r="I41" i="1" s="1"/>
  <c r="H38" i="1"/>
  <c r="H41" i="1" s="1"/>
  <c r="F554" i="1"/>
  <c r="F263" i="1"/>
  <c r="F199" i="1"/>
  <c r="F94" i="1"/>
  <c r="H469" i="1"/>
  <c r="H479" i="1" s="1"/>
  <c r="F553" i="1"/>
  <c r="F262" i="1"/>
  <c r="F198" i="1"/>
  <c r="F197" i="1"/>
  <c r="I699" i="1"/>
  <c r="I709" i="1" s="1"/>
  <c r="F93" i="1"/>
  <c r="H667" i="1"/>
  <c r="H679" i="1"/>
  <c r="F552" i="1"/>
  <c r="H364" i="1"/>
  <c r="H309" i="1"/>
  <c r="F261" i="1"/>
  <c r="H145" i="1"/>
  <c r="F92" i="1"/>
  <c r="F1004" i="1" l="1"/>
  <c r="M1004" i="1" s="1"/>
  <c r="N1004" i="1" s="1"/>
  <c r="R1001" i="1" s="1"/>
  <c r="B3" i="2"/>
  <c r="B7" i="2" s="1"/>
  <c r="I1003" i="1"/>
  <c r="H1002" i="1"/>
  <c r="H1003" i="1"/>
  <c r="I89" i="1"/>
  <c r="F89" i="1" s="1"/>
  <c r="I691" i="1"/>
  <c r="I253" i="1"/>
  <c r="I259" i="1" s="1"/>
  <c r="I628" i="1"/>
  <c r="I601" i="1"/>
  <c r="I611" i="1" s="1"/>
  <c r="I395" i="1" l="1"/>
  <c r="F406" i="1"/>
  <c r="F412" i="1" s="1"/>
  <c r="I260" i="1" l="1"/>
  <c r="I266" i="1" s="1"/>
  <c r="I221" i="1"/>
  <c r="I91" i="1" l="1"/>
  <c r="I97" i="1" s="1"/>
  <c r="J920" i="1" l="1"/>
  <c r="J930" i="1" s="1"/>
  <c r="J908" i="1"/>
  <c r="H332" i="1"/>
  <c r="H196" i="1"/>
  <c r="H206" i="1" s="1"/>
  <c r="H144" i="1"/>
  <c r="F39" i="1"/>
  <c r="F38" i="1"/>
  <c r="J918" i="1" l="1"/>
  <c r="J1001" i="1"/>
  <c r="F41" i="1"/>
  <c r="F238" i="1"/>
  <c r="F239" i="1"/>
  <c r="F241" i="1" l="1"/>
  <c r="I932" i="1"/>
  <c r="I942" i="1" s="1"/>
  <c r="I920" i="1"/>
  <c r="I908" i="1"/>
  <c r="I918" i="1" l="1"/>
  <c r="I1001" i="1"/>
  <c r="H376" i="1"/>
  <c r="H1001" i="1" s="1"/>
  <c r="F231" i="1"/>
  <c r="J1000" i="1" l="1"/>
  <c r="F226" i="1" l="1"/>
  <c r="F459" i="1" l="1"/>
  <c r="F460" i="1"/>
  <c r="F461" i="1"/>
  <c r="F462" i="1"/>
  <c r="F463" i="1"/>
  <c r="F464" i="1"/>
  <c r="I465" i="1"/>
  <c r="I466" i="1" s="1"/>
  <c r="H465" i="1"/>
  <c r="I505" i="1"/>
  <c r="I516" i="1" s="1"/>
  <c r="I532" i="1"/>
  <c r="I543" i="1" s="1"/>
  <c r="I550" i="1"/>
  <c r="I557" i="1"/>
  <c r="F557" i="1" s="1"/>
  <c r="I393" i="1"/>
  <c r="I433" i="1" s="1"/>
  <c r="F924" i="1"/>
  <c r="I16" i="1"/>
  <c r="I17" i="1" s="1"/>
  <c r="I59" i="1"/>
  <c r="I156" i="1"/>
  <c r="I220" i="1"/>
  <c r="I222" i="1" s="1"/>
  <c r="I229" i="1"/>
  <c r="I268" i="1"/>
  <c r="I637" i="1"/>
  <c r="I919" i="1"/>
  <c r="I930" i="1" s="1"/>
  <c r="I618" i="1"/>
  <c r="I626" i="1"/>
  <c r="I634" i="1"/>
  <c r="I596" i="1"/>
  <c r="I587" i="1"/>
  <c r="F1003" i="1"/>
  <c r="F1002" i="1"/>
  <c r="H698" i="1"/>
  <c r="H709" i="1" s="1"/>
  <c r="H678" i="1"/>
  <c r="H689" i="1" s="1"/>
  <c r="H666" i="1"/>
  <c r="H677" i="1" s="1"/>
  <c r="H637" i="1"/>
  <c r="H375" i="1"/>
  <c r="H363" i="1"/>
  <c r="H331" i="1"/>
  <c r="H342" i="1" s="1"/>
  <c r="H308" i="1"/>
  <c r="H319" i="1" s="1"/>
  <c r="H223" i="1"/>
  <c r="H227" i="1" s="1"/>
  <c r="H220" i="1"/>
  <c r="H222" i="1" s="1"/>
  <c r="H18" i="1"/>
  <c r="H19" i="1" s="1"/>
  <c r="H16" i="1"/>
  <c r="H17" i="1" s="1"/>
  <c r="F224" i="1"/>
  <c r="F225" i="1"/>
  <c r="F387" i="1"/>
  <c r="F388" i="1"/>
  <c r="F389" i="1"/>
  <c r="F390" i="1"/>
  <c r="F391" i="1"/>
  <c r="F392" i="1"/>
  <c r="F376" i="1"/>
  <c r="F377" i="1"/>
  <c r="F378" i="1"/>
  <c r="F380" i="1"/>
  <c r="F364" i="1"/>
  <c r="F365" i="1"/>
  <c r="F366" i="1"/>
  <c r="F394" i="1"/>
  <c r="F395" i="1"/>
  <c r="F396" i="1"/>
  <c r="F397" i="1"/>
  <c r="F398" i="1"/>
  <c r="F399" i="1"/>
  <c r="H393" i="1"/>
  <c r="H405" i="1"/>
  <c r="F585" i="1"/>
  <c r="F584" i="1"/>
  <c r="F583" i="1"/>
  <c r="F582" i="1"/>
  <c r="F581" i="1"/>
  <c r="F580" i="1"/>
  <c r="G565" i="1"/>
  <c r="H516" i="1"/>
  <c r="H550" i="1"/>
  <c r="J524" i="1"/>
  <c r="J531" i="1"/>
  <c r="F551" i="1"/>
  <c r="H219" i="1"/>
  <c r="F260" i="1"/>
  <c r="F266" i="1" s="1"/>
  <c r="F145" i="1"/>
  <c r="F146" i="1"/>
  <c r="F147" i="1"/>
  <c r="F148" i="1"/>
  <c r="F149" i="1"/>
  <c r="F157" i="1"/>
  <c r="F158" i="1"/>
  <c r="F159" i="1"/>
  <c r="F160" i="1"/>
  <c r="F161" i="1"/>
  <c r="F196" i="1"/>
  <c r="F206" i="1" s="1"/>
  <c r="H98" i="1"/>
  <c r="H56" i="1"/>
  <c r="H81" i="1" s="1"/>
  <c r="F469" i="1"/>
  <c r="F91" i="1"/>
  <c r="H97" i="1"/>
  <c r="F97" i="1" s="1"/>
  <c r="J942" i="1"/>
  <c r="I957" i="1"/>
  <c r="H957" i="1"/>
  <c r="H942" i="1"/>
  <c r="H930" i="1"/>
  <c r="H918" i="1"/>
  <c r="H906" i="1"/>
  <c r="F945" i="1"/>
  <c r="F946" i="1"/>
  <c r="F947" i="1"/>
  <c r="F948" i="1"/>
  <c r="F949" i="1"/>
  <c r="F950" i="1"/>
  <c r="F931" i="1"/>
  <c r="F932" i="1"/>
  <c r="F933" i="1"/>
  <c r="F934" i="1"/>
  <c r="F935" i="1"/>
  <c r="F936" i="1"/>
  <c r="F920" i="1"/>
  <c r="F921" i="1"/>
  <c r="F922" i="1"/>
  <c r="F923" i="1"/>
  <c r="F907" i="1"/>
  <c r="F908" i="1"/>
  <c r="F909" i="1"/>
  <c r="F910" i="1"/>
  <c r="F911" i="1"/>
  <c r="F912" i="1"/>
  <c r="F895" i="1"/>
  <c r="F896" i="1"/>
  <c r="F897" i="1"/>
  <c r="F898" i="1"/>
  <c r="F899" i="1"/>
  <c r="F900" i="1"/>
  <c r="I856" i="1"/>
  <c r="I849" i="1"/>
  <c r="I818" i="1"/>
  <c r="I810" i="1"/>
  <c r="I773" i="1"/>
  <c r="I697" i="1"/>
  <c r="F850" i="1"/>
  <c r="F851" i="1"/>
  <c r="F852" i="1"/>
  <c r="F853" i="1"/>
  <c r="F854" i="1"/>
  <c r="F855" i="1"/>
  <c r="F843" i="1"/>
  <c r="F844" i="1"/>
  <c r="F845" i="1"/>
  <c r="F846" i="1"/>
  <c r="F847" i="1"/>
  <c r="F848" i="1"/>
  <c r="F831" i="1"/>
  <c r="F832" i="1"/>
  <c r="F833" i="1"/>
  <c r="F834" i="1"/>
  <c r="F835" i="1"/>
  <c r="F836" i="1"/>
  <c r="F819" i="1"/>
  <c r="F820" i="1"/>
  <c r="F821" i="1"/>
  <c r="F822" i="1"/>
  <c r="F823" i="1"/>
  <c r="F824" i="1"/>
  <c r="F811" i="1"/>
  <c r="F812" i="1"/>
  <c r="F813" i="1"/>
  <c r="F814" i="1"/>
  <c r="F815" i="1"/>
  <c r="F816" i="1"/>
  <c r="F803" i="1"/>
  <c r="F804" i="1"/>
  <c r="F805" i="1"/>
  <c r="F806" i="1"/>
  <c r="F807" i="1"/>
  <c r="F808" i="1"/>
  <c r="F788" i="1"/>
  <c r="F789" i="1"/>
  <c r="F790" i="1"/>
  <c r="F791" i="1"/>
  <c r="F792" i="1"/>
  <c r="F793" i="1"/>
  <c r="F776" i="1"/>
  <c r="F777" i="1"/>
  <c r="F778" i="1"/>
  <c r="F779" i="1"/>
  <c r="F780" i="1"/>
  <c r="F781" i="1"/>
  <c r="F754" i="1"/>
  <c r="F755" i="1"/>
  <c r="F756" i="1"/>
  <c r="F757" i="1"/>
  <c r="F758" i="1"/>
  <c r="F759" i="1"/>
  <c r="F713" i="1"/>
  <c r="F714" i="1"/>
  <c r="F715" i="1"/>
  <c r="F716" i="1"/>
  <c r="F717" i="1"/>
  <c r="F718" i="1"/>
  <c r="F725" i="1"/>
  <c r="F726" i="1"/>
  <c r="F727" i="1"/>
  <c r="F728" i="1"/>
  <c r="F729" i="1"/>
  <c r="F730" i="1"/>
  <c r="G710" i="1"/>
  <c r="F667" i="1"/>
  <c r="F668" i="1"/>
  <c r="F669" i="1"/>
  <c r="F670" i="1"/>
  <c r="F671" i="1"/>
  <c r="F679" i="1"/>
  <c r="F680" i="1"/>
  <c r="F681" i="1"/>
  <c r="F682" i="1"/>
  <c r="F683" i="1"/>
  <c r="F690" i="1"/>
  <c r="F691" i="1"/>
  <c r="F692" i="1"/>
  <c r="F693" i="1"/>
  <c r="F694" i="1"/>
  <c r="F695" i="1"/>
  <c r="F699" i="1"/>
  <c r="F700" i="1"/>
  <c r="F701" i="1"/>
  <c r="F702" i="1"/>
  <c r="F703" i="1"/>
  <c r="H635" i="1"/>
  <c r="F638" i="1"/>
  <c r="F639" i="1"/>
  <c r="F640" i="1"/>
  <c r="F641" i="1"/>
  <c r="F642" i="1"/>
  <c r="F600" i="1"/>
  <c r="F601" i="1"/>
  <c r="F602" i="1"/>
  <c r="F603" i="1"/>
  <c r="F604" i="1"/>
  <c r="F605" i="1"/>
  <c r="F612" i="1"/>
  <c r="F613" i="1"/>
  <c r="F614" i="1"/>
  <c r="F615" i="1"/>
  <c r="F616" i="1"/>
  <c r="F617" i="1"/>
  <c r="F619" i="1"/>
  <c r="F620" i="1"/>
  <c r="F621" i="1"/>
  <c r="F622" i="1"/>
  <c r="F623" i="1"/>
  <c r="F624" i="1"/>
  <c r="F627" i="1"/>
  <c r="F628" i="1"/>
  <c r="F629" i="1"/>
  <c r="F630" i="1"/>
  <c r="F631" i="1"/>
  <c r="F632" i="1"/>
  <c r="F568" i="1"/>
  <c r="F569" i="1"/>
  <c r="F570" i="1"/>
  <c r="F571" i="1"/>
  <c r="F572" i="1"/>
  <c r="F573" i="1"/>
  <c r="F589" i="1"/>
  <c r="F590" i="1"/>
  <c r="F591" i="1"/>
  <c r="F592" i="1"/>
  <c r="F593" i="1"/>
  <c r="F594" i="1"/>
  <c r="F544" i="1"/>
  <c r="F550" i="1" s="1"/>
  <c r="F533" i="1"/>
  <c r="F534" i="1"/>
  <c r="F535" i="1"/>
  <c r="F537" i="1"/>
  <c r="F528" i="1"/>
  <c r="F529" i="1"/>
  <c r="F530" i="1"/>
  <c r="F521" i="1"/>
  <c r="F522" i="1"/>
  <c r="F523" i="1"/>
  <c r="F506" i="1"/>
  <c r="F508" i="1"/>
  <c r="F510" i="1"/>
  <c r="I457" i="1"/>
  <c r="I219" i="1"/>
  <c r="H480" i="1"/>
  <c r="F468" i="1"/>
  <c r="F470" i="1"/>
  <c r="F471" i="1"/>
  <c r="F472" i="1"/>
  <c r="F473" i="1"/>
  <c r="F435" i="1"/>
  <c r="F436" i="1"/>
  <c r="F437" i="1"/>
  <c r="F438" i="1"/>
  <c r="F439" i="1"/>
  <c r="F440" i="1"/>
  <c r="F309" i="1"/>
  <c r="F310" i="1"/>
  <c r="F311" i="1"/>
  <c r="F312" i="1"/>
  <c r="F313" i="1"/>
  <c r="F332" i="1"/>
  <c r="F333" i="1"/>
  <c r="F334" i="1"/>
  <c r="F335" i="1"/>
  <c r="F336" i="1"/>
  <c r="F269" i="1"/>
  <c r="F270" i="1"/>
  <c r="F271" i="1"/>
  <c r="F272" i="1"/>
  <c r="F273" i="1"/>
  <c r="F252" i="1"/>
  <c r="F253" i="1"/>
  <c r="F230" i="1"/>
  <c r="F232" i="1"/>
  <c r="F233" i="1"/>
  <c r="F221" i="1"/>
  <c r="F215" i="1"/>
  <c r="F216" i="1"/>
  <c r="I223" i="1"/>
  <c r="I227" i="1" s="1"/>
  <c r="G219" i="1"/>
  <c r="I114" i="1"/>
  <c r="I106" i="1"/>
  <c r="F106" i="1" s="1"/>
  <c r="I56" i="1"/>
  <c r="I58" i="1"/>
  <c r="I19" i="1"/>
  <c r="F108" i="1"/>
  <c r="F109" i="1"/>
  <c r="F110" i="1"/>
  <c r="F111" i="1"/>
  <c r="F112" i="1"/>
  <c r="F113" i="1"/>
  <c r="F105" i="1"/>
  <c r="F103" i="1"/>
  <c r="F102" i="1"/>
  <c r="F101" i="1"/>
  <c r="F100" i="1"/>
  <c r="F85" i="1"/>
  <c r="F83" i="1"/>
  <c r="F50" i="1"/>
  <c r="F56" i="1" s="1"/>
  <c r="F57" i="1"/>
  <c r="F58" i="1" s="1"/>
  <c r="F60" i="1"/>
  <c r="F61" i="1"/>
  <c r="F62" i="1"/>
  <c r="F63" i="1"/>
  <c r="F64" i="1"/>
  <c r="G37" i="1"/>
  <c r="G48" i="1" s="1"/>
  <c r="F29" i="1"/>
  <c r="F30" i="1"/>
  <c r="F31" i="1"/>
  <c r="F32" i="1"/>
  <c r="F33" i="1"/>
  <c r="F34" i="1"/>
  <c r="I48" i="1"/>
  <c r="H48" i="1"/>
  <c r="J20" i="1"/>
  <c r="G17" i="1"/>
  <c r="G19" i="1"/>
  <c r="J1006" i="1" l="1"/>
  <c r="J1011" i="1" s="1"/>
  <c r="H565" i="1"/>
  <c r="F799" i="1"/>
  <c r="F906" i="1"/>
  <c r="H466" i="1"/>
  <c r="F765" i="1"/>
  <c r="F773" i="1" s="1"/>
  <c r="F842" i="1"/>
  <c r="F942" i="1"/>
  <c r="F736" i="1"/>
  <c r="F918" i="1"/>
  <c r="F956" i="1"/>
  <c r="F957" i="1" s="1"/>
  <c r="H648" i="1"/>
  <c r="H649" i="1"/>
  <c r="H663" i="1" s="1"/>
  <c r="F724" i="1"/>
  <c r="F787" i="1"/>
  <c r="F830" i="1"/>
  <c r="I648" i="1"/>
  <c r="I649" i="1"/>
  <c r="F579" i="1"/>
  <c r="F611" i="1"/>
  <c r="I565" i="1"/>
  <c r="F229" i="1"/>
  <c r="F268" i="1"/>
  <c r="F279" i="1" s="1"/>
  <c r="I279" i="1"/>
  <c r="F259" i="1"/>
  <c r="F375" i="1"/>
  <c r="F386" i="1" s="1"/>
  <c r="H386" i="1"/>
  <c r="H433" i="1" s="1"/>
  <c r="F479" i="1"/>
  <c r="F480" i="1" s="1"/>
  <c r="F446" i="1"/>
  <c r="F457" i="1" s="1"/>
  <c r="F405" i="1"/>
  <c r="F59" i="1"/>
  <c r="F70" i="1" s="1"/>
  <c r="F81" i="1" s="1"/>
  <c r="I70" i="1"/>
  <c r="I81" i="1" s="1"/>
  <c r="F48" i="1"/>
  <c r="F156" i="1"/>
  <c r="F167" i="1" s="1"/>
  <c r="I167" i="1"/>
  <c r="I207" i="1" s="1"/>
  <c r="H305" i="1"/>
  <c r="F219" i="1"/>
  <c r="H360" i="1"/>
  <c r="I751" i="1"/>
  <c r="I864" i="1"/>
  <c r="I710" i="1"/>
  <c r="H207" i="1"/>
  <c r="H710" i="1"/>
  <c r="H892" i="1" s="1"/>
  <c r="I597" i="1"/>
  <c r="I635" i="1"/>
  <c r="F16" i="1"/>
  <c r="F17" i="1" s="1"/>
  <c r="F234" i="1"/>
  <c r="F698" i="1"/>
  <c r="F709" i="1" s="1"/>
  <c r="G493" i="1"/>
  <c r="F308" i="1"/>
  <c r="F319" i="1" s="1"/>
  <c r="F18" i="1"/>
  <c r="F19" i="1" s="1"/>
  <c r="F532" i="1"/>
  <c r="F543" i="1" s="1"/>
  <c r="F666" i="1"/>
  <c r="F677" i="1" s="1"/>
  <c r="F505" i="1"/>
  <c r="F516" i="1" s="1"/>
  <c r="F849" i="1"/>
  <c r="F531" i="1"/>
  <c r="I800" i="1"/>
  <c r="F800" i="1" s="1"/>
  <c r="F1005" i="1"/>
  <c r="J565" i="1"/>
  <c r="J663" i="1" s="1"/>
  <c r="F919" i="1"/>
  <c r="F930" i="1" s="1"/>
  <c r="F393" i="1"/>
  <c r="H1000" i="1"/>
  <c r="I1000" i="1"/>
  <c r="I1011" i="1" s="1"/>
  <c r="I20" i="1"/>
  <c r="F524" i="1"/>
  <c r="H20" i="1"/>
  <c r="H115" i="1" s="1"/>
  <c r="F637" i="1"/>
  <c r="F818" i="1"/>
  <c r="F331" i="1"/>
  <c r="F342" i="1" s="1"/>
  <c r="F626" i="1"/>
  <c r="F810" i="1"/>
  <c r="H943" i="1"/>
  <c r="H959" i="1" s="1"/>
  <c r="I98" i="1"/>
  <c r="F98" i="1" s="1"/>
  <c r="F220" i="1"/>
  <c r="F222" i="1" s="1"/>
  <c r="G20" i="1"/>
  <c r="F596" i="1"/>
  <c r="F697" i="1"/>
  <c r="F144" i="1"/>
  <c r="F155" i="1" s="1"/>
  <c r="F634" i="1"/>
  <c r="F618" i="1"/>
  <c r="F678" i="1"/>
  <c r="F689" i="1" s="1"/>
  <c r="F856" i="1"/>
  <c r="J943" i="1"/>
  <c r="J959" i="1" s="1"/>
  <c r="F587" i="1"/>
  <c r="F465" i="1"/>
  <c r="F466" i="1" s="1"/>
  <c r="I943" i="1"/>
  <c r="I959" i="1" s="1"/>
  <c r="F1001" i="1"/>
  <c r="F114" i="1"/>
  <c r="F363" i="1"/>
  <c r="F223" i="1"/>
  <c r="F227" i="1" s="1"/>
  <c r="F864" i="1" l="1"/>
  <c r="I892" i="1"/>
  <c r="F892" i="1" s="1"/>
  <c r="F1006" i="1"/>
  <c r="H1011" i="1"/>
  <c r="F710" i="1"/>
  <c r="F649" i="1"/>
  <c r="F648" i="1"/>
  <c r="F305" i="1"/>
  <c r="I305" i="1"/>
  <c r="I493" i="1" s="1"/>
  <c r="H493" i="1"/>
  <c r="F433" i="1"/>
  <c r="I663" i="1"/>
  <c r="F663" i="1" s="1"/>
  <c r="I115" i="1"/>
  <c r="F115" i="1" s="1"/>
  <c r="F360" i="1"/>
  <c r="F20" i="1"/>
  <c r="F597" i="1"/>
  <c r="H208" i="1"/>
  <c r="F635" i="1"/>
  <c r="F207" i="1"/>
  <c r="F565" i="1"/>
  <c r="F943" i="1"/>
  <c r="F959" i="1" s="1"/>
  <c r="F751" i="1"/>
  <c r="F1000" i="1"/>
  <c r="F1011" i="1" l="1"/>
  <c r="I208" i="1"/>
  <c r="F208" i="1" s="1"/>
  <c r="F493" i="1"/>
</calcChain>
</file>

<file path=xl/sharedStrings.xml><?xml version="1.0" encoding="utf-8"?>
<sst xmlns="http://schemas.openxmlformats.org/spreadsheetml/2006/main" count="916" uniqueCount="441">
  <si>
    <t>Освещение в СМИ передового педагогического опыта работы,публикации материалов о лучших педагогах, педагогических династиях</t>
  </si>
  <si>
    <t>Обеспечение условий для трудоустройства молодежи через организацию трудовых бригад, лагерей труда и отдыха для подростков</t>
  </si>
  <si>
    <t>№</t>
  </si>
  <si>
    <t>Наименование мероприятия</t>
  </si>
  <si>
    <t>Сроки реализации</t>
  </si>
  <si>
    <t>Ответственный исполнитель</t>
  </si>
  <si>
    <t>Годы</t>
  </si>
  <si>
    <t>Предполагаемый объем финансирования</t>
  </si>
  <si>
    <t>Ожидаемый эффект от реализации</t>
  </si>
  <si>
    <t>Всего</t>
  </si>
  <si>
    <t>Федеральный бюджет</t>
  </si>
  <si>
    <t>Областной бюджет</t>
  </si>
  <si>
    <t>Местный бюджет</t>
  </si>
  <si>
    <t>Приносящая доход деятельность</t>
  </si>
  <si>
    <t xml:space="preserve">Подпрограмма № 1«Повышение качества и доступности дошкольного образования» </t>
  </si>
  <si>
    <t>МЕРОПРИЯТИЕ 1. Обеспечение государственных гарантий доступности дошкольного образования</t>
  </si>
  <si>
    <t>1.1.1.</t>
  </si>
  <si>
    <t>Детский сад на 70 мест в с.Правда Холмского района Сахалинской области</t>
  </si>
  <si>
    <t>ВСЕГО</t>
  </si>
  <si>
    <t>1.1.2.</t>
  </si>
  <si>
    <t>ИТОГО по п. 1.1.</t>
  </si>
  <si>
    <t>ИТОГО по п. 1.2.</t>
  </si>
  <si>
    <t>1.3. Обеспечение функционирования дошкольных образовательных организаций</t>
  </si>
  <si>
    <t>Оснащение дополнительно созданных мест в открываемых новых дошкольных образовательных учреждениях (ДОУ) и новых дошкольных групп в действующих ДОУ</t>
  </si>
  <si>
    <t xml:space="preserve">Укрепление материально – технической базы образовательных организаций. </t>
  </si>
  <si>
    <t>Обеспечение функционирования дошкольных образовательных учреждений, в том числе с учетом современных требований энергоэффективности</t>
  </si>
  <si>
    <t>ИТОГО по п. 1.3.</t>
  </si>
  <si>
    <t>1.4. Обеспечение безопасности дошкольных образовательных организаций</t>
  </si>
  <si>
    <t>ИТОГО по п. 1.4</t>
  </si>
  <si>
    <t>1.5. Улучшение материально – технических условий организации образовательного процесса в дошкольных образовательных организациях</t>
  </si>
  <si>
    <t>Установка теневых навесов и малых форм в дошкольных образовательных организациях</t>
  </si>
  <si>
    <t>1.6. Формирование доступной среды</t>
  </si>
  <si>
    <t>Приобретение оборудования для организации обучения детей – инвалидов в дошкольных образовательных организациях</t>
  </si>
  <si>
    <t>Поддержка субъектов малого предпринимательства в сфере дошкольного образования</t>
  </si>
  <si>
    <t xml:space="preserve">Оказание поддержки субъектам малого предпринимательства по оказанию услуг дошкольного образования; повышение качества охвата детей дошкольного возраста разными формами дошкольного образования, в том числе в сельской местности. </t>
  </si>
  <si>
    <t>Финансирование за счет областного бюджета</t>
  </si>
  <si>
    <t>МЕРОПРИЯТИЕ 3. Обеспечение высокого качества услуг дошкольного образования</t>
  </si>
  <si>
    <t xml:space="preserve">3.1.Реализация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 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</si>
  <si>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</t>
  </si>
  <si>
    <t>Будет обеспечен охват детей услугами дошкольного образования в возрасте от 2  месяцев до 7 лет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</si>
  <si>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в группах кратковременного пребывания</t>
  </si>
  <si>
    <t>Предоставление услуги заявителем, согласно поданным заявлениям</t>
  </si>
  <si>
    <t>3.2. Обновление технологий и содержания дошкольного образования за 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организацию, лучшего педагогического работника</t>
  </si>
  <si>
    <t>3.2.1.</t>
  </si>
  <si>
    <t>ФОТ  педагогических работников дошкольных образовательных организаций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</si>
  <si>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 в регионе повысится качество кадрового состава дошкольного образования.</t>
  </si>
  <si>
    <t>3.2.1.2.</t>
  </si>
  <si>
    <t>ФОТ  обслуживающего персонала дошкольных образовательных организаций</t>
  </si>
  <si>
    <t>3.2.2.</t>
  </si>
  <si>
    <r>
      <t>Обновление технологий и содержания дошкольного образования за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организацию.</t>
    </r>
  </si>
  <si>
    <t>На конкурсной основе поддержку на внедрение инновационных образовательных технологий и практик получат победители конкурса. Будет обеспечено оснащение вновь созданных учрежденийсовременным оборудованием.</t>
  </si>
  <si>
    <t>Изменение подходов к содержанию, средствам и методам организации воспитательно - образовательного процесса в дошкольных образовательных организациях</t>
  </si>
  <si>
    <t>Методическая поддержка иноваций и инициатив педагогов и организаций</t>
  </si>
  <si>
    <t>Без дополнительного финансирования</t>
  </si>
  <si>
    <t>Повышение статуса педагогических работников дошкольных образовательных организаций, обобщение и распространение  их опыта работы, материальное стимулирование.</t>
  </si>
  <si>
    <t>Выявление и поддержка лидеров дошкольного образования</t>
  </si>
  <si>
    <t>Финансирование за счет общих расходов</t>
  </si>
  <si>
    <t>Строительство спортивного зала Лицея "Надежда"</t>
  </si>
  <si>
    <t>2015 -2016</t>
  </si>
  <si>
    <t>1.1.3.</t>
  </si>
  <si>
    <t>1.2.1.</t>
  </si>
  <si>
    <t>2015 -2020</t>
  </si>
  <si>
    <t>Мероприятие 2. «Повышение качества общего образования»</t>
  </si>
  <si>
    <t>2.1. Реализация государственной услуги по предоставлению начального общего, основного общего, среднего  общего образования по основным общеобразовательным программам</t>
  </si>
  <si>
    <t>2.1.1.</t>
  </si>
  <si>
    <r>
      <t>2.2.</t>
    </r>
    <r>
      <rPr>
        <b/>
        <sz val="11"/>
        <color indexed="8"/>
        <rFont val="Times New Roman"/>
        <family val="1"/>
        <charset val="204"/>
      </rPr>
      <t>Реализация требований федеральных государственных образовательных стандартов</t>
    </r>
  </si>
  <si>
    <t>3.1 .Софинансирование расходных обязательств муниципальных образований по созданию условий для осуществления присмотра и ухода за детьми в общеобразовательных организациях, имеющих интернат, а также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(включая расходы по обеспечению содержания зданий и сооружений), которые по состоянию на 31 декабря 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 (далее – на создание условий для осуществления присмотра и ухода за детьми и на организацию предоставления образования в общеобразовательных организациях, которые имеют интернат, и (или)  по состоянию на 31.12.2001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</t>
  </si>
  <si>
    <t>3.1.2.</t>
  </si>
  <si>
    <t>2015 - 2020</t>
  </si>
  <si>
    <t>Разработка нормативных документов по вопросам воспитания, дополнительного образования и профилактической работе</t>
  </si>
  <si>
    <t>2.1. Реализация муниципальной  услуги по предоставлению дополнительного образования по дополнительным  общеобразовательным программам</t>
  </si>
  <si>
    <r>
      <t>2.2.</t>
    </r>
    <r>
      <rPr>
        <b/>
        <sz val="11"/>
        <color indexed="8"/>
        <rFont val="Times New Roman"/>
        <family val="1"/>
        <charset val="204"/>
      </rPr>
      <t xml:space="preserve">Укрепление материально-технической базы организаций дополнительного образования детей </t>
    </r>
  </si>
  <si>
    <t>2.2.2.</t>
  </si>
  <si>
    <t>Мероприятие 3 «Повышение кадрового потенциала образовательных организаций по вопросам дополнительного образования, воспитания, профилактической работы с детьми и социального неблагополучия в семьях»</t>
  </si>
  <si>
    <t>3.1.  Организация мероприятий, способствующих постоянному повышению уровня квалификации педагогов</t>
  </si>
  <si>
    <t>3.2.  Организация муниципальной системы обмена, распространения и внедреия положительного педагогического опыта</t>
  </si>
  <si>
    <t>4.1. Внедрение в школах муниципального образования программ профессионального самоопределения</t>
  </si>
  <si>
    <t>4.1.1.</t>
  </si>
  <si>
    <t>Организация  и проведение  муниципальных, а также участие в областных творческих конкурсах по различных направленностям дополнительного образования</t>
  </si>
  <si>
    <t>4.1.2.</t>
  </si>
  <si>
    <t>Организация и проведение муниципальных спортивных соревнований, в том числе «Президентских спортивных игр» и «Президентских состязаний».  Участие в областных соревнованиях</t>
  </si>
  <si>
    <t>4.1.3.</t>
  </si>
  <si>
    <t>4.1.4.</t>
  </si>
  <si>
    <t>Организация и проведение  мероприятий, связанных с профилактикой социального неблагополучия в семьях и жестокого обращения с детьми</t>
  </si>
  <si>
    <t>Модернизация учебно-воспитательного процесса в организациях дополнительного образования</t>
  </si>
  <si>
    <t>Ежемесячная денежная выплата работникам образовательных учреждений, которым присвоено почетное звание «Заслуженный педагог Сахалинской области»</t>
  </si>
  <si>
    <t>Ежемесячная денежная выплата работникам образовательных учреждений, имеющим государственные награды РФ</t>
  </si>
  <si>
    <t>Реализация ведомственной целевой программы Сахалинской области «О государственной поддержке учителей общеобразовательных учреждений при ипотечном кредитовании на 2012 – 2014 годы»</t>
  </si>
  <si>
    <t>Заочное обучение и целевая подготовка специалистов</t>
  </si>
  <si>
    <t>Переход на конкурсную основу  отбора руководителей образовательных организаций</t>
  </si>
  <si>
    <t>Введение эффективного контракта как основы трудовых отношений с руководителями, педагогами, работниками системы образования</t>
  </si>
  <si>
    <t>3.1.1.</t>
  </si>
  <si>
    <t>Повышение квалификации работников образования муниципальных образовательных организаций</t>
  </si>
  <si>
    <t>Формирование и сопровождение профессионального развития резерва руководящих кадров учреждений образования</t>
  </si>
  <si>
    <t>Проведение профориентационных мероприятий с обучающимися 10-11 классов школ (консультации, лектории, Дни открытых дверей)</t>
  </si>
  <si>
    <t>Смотры-конкурсы районных методических объединений учителей в рамках профориентационной работы с обучающимися основной и старшей школы</t>
  </si>
  <si>
    <t>5.1. Проведение мероприятий по формированию положительного имиджа педагога в обществе</t>
  </si>
  <si>
    <t>5.1.1.</t>
  </si>
  <si>
    <t>Участие педагогов в областных  конференциях, педагогических чтениях, круглых столах</t>
  </si>
  <si>
    <t>Муниципальные и областные методические выставки по лучшему инновационному опыту педагогов и образовательных организаций</t>
  </si>
  <si>
    <t>Муниципальный конкурс инновационных программ</t>
  </si>
  <si>
    <t>1.1.</t>
  </si>
  <si>
    <t>Организация питания детей</t>
  </si>
  <si>
    <t>1.2.</t>
  </si>
  <si>
    <t>Реализация программ деятельности лагерей, обеспечение их необходимыми канцелярскими и хозяйственными товарами</t>
  </si>
  <si>
    <t>1.3.</t>
  </si>
  <si>
    <t>1.4.</t>
  </si>
  <si>
    <t>Оплата труда педагогических и медицинских работников лагерей с начислениями</t>
  </si>
  <si>
    <t>2.1.</t>
  </si>
  <si>
    <t>Оплата труда  несовершеннолетних с начислениями</t>
  </si>
  <si>
    <t>ИТОГО НА РЕАЛИЗАЦИЮ МУНИЦИПАЛЬНОЙ ПРОГРАММЫ</t>
  </si>
  <si>
    <t>Капитальный ремонт зданий образовательных учреждений позволит привести условия содержания дошкольных образовательных организаций в соответствии с санитарными и иными  требованиями законодательства</t>
  </si>
  <si>
    <t>Создание до 2015 года 70 мест для дошкольников</t>
  </si>
  <si>
    <t>Создание до 2015 года 20 мест для дошкольников</t>
  </si>
  <si>
    <t>Ресурсное обеспечение  муниципальной программы</t>
  </si>
  <si>
    <t>«Развитие образования в муниципальном образовании</t>
  </si>
  <si>
    <t>1.3.1.</t>
  </si>
  <si>
    <t>Капитальный ремонт зданий функционирующих дошкольных образовательных организаций в целях открытия дополнительных мест: МБДОУ д/с № 28 «Рябинка» с.Чехов - 1 группа - 20 мест; МБДОУ № 4 "Маячок"; с.Яблочное - 1 группа-20 мест</t>
  </si>
  <si>
    <t>Укрепление материально-технической базы образовательных учреждений (благоустройство территории, капитальный ремонт, разработка ПСД на благоустройство территории, разработка ПСД на капитальный ремонт)</t>
  </si>
  <si>
    <t>1.2. Капитальный ремонт зданий функционирующих общеобразовательных организаций</t>
  </si>
  <si>
    <t>2.2.3.</t>
  </si>
  <si>
    <t>2.2.4.</t>
  </si>
  <si>
    <t>годы</t>
  </si>
  <si>
    <t>2015-2020</t>
  </si>
  <si>
    <t>Школа-детский сад  на 110 мест в с. Пионеры Холмского района Сахалинской области</t>
  </si>
  <si>
    <t>Оснащение дошкольных образовательных организаций специализированным учебным, учебно-наглядным и учебно-производственным оборудованием</t>
  </si>
  <si>
    <t xml:space="preserve">Создание условий для осуществления присмотра и ухода за детьми в общеобразовательных организациях, организация предоставления образования в общеобразовательных организациях. </t>
  </si>
  <si>
    <t>3.2.1. Оплата труда работников дошкольных образовательных организаций</t>
  </si>
  <si>
    <t xml:space="preserve">Оснащение специализированным учебным, учебно-наглядным и учебно-производственным оборудованием:                   - С(К)ОШ  YIII вида </t>
  </si>
  <si>
    <t>3.1.4.</t>
  </si>
  <si>
    <t>Проведение муниципальных семинаров, конференций, круглых столов по вопросам развития воспитания, дополнительного образования и профилактической работы</t>
  </si>
  <si>
    <t>Будет приобретено оборудование для оснащения вновь созданных мест в дошкольных образовательных учреждениях и новых дошкольных группах действующих ДОУ.</t>
  </si>
  <si>
    <t>Обеспечение стабильного функционирования  дошкольных образовательных организаций</t>
  </si>
  <si>
    <t>Обеспечение стабильного функционирования  дошкольных образовательных организаций, экономия потребления электро- и теплоэнергии</t>
  </si>
  <si>
    <t>Выполнение норм и требований пожарного законодательства</t>
  </si>
  <si>
    <t>Будет приобретено оборудование для оснащения действующих дошкольных образовательных учреждениях</t>
  </si>
  <si>
    <t>Ввод в эксплуатацию в 2016 году объекта строительства, открытие нового спортивного зала</t>
  </si>
  <si>
    <t>2017 -2018</t>
  </si>
  <si>
    <t>Комфортные и безопасные условия обучения и воспитания в общеобразовательных учреждениях</t>
  </si>
  <si>
    <t>Введение федеральных государственных образовательных стандартов на 3-х ступенях обучения</t>
  </si>
  <si>
    <t>Обеспечение и проведение государственной итоговой аттестации</t>
  </si>
  <si>
    <t>Реализация функций по контролю за качеством образования</t>
  </si>
  <si>
    <t>Охват специальным (коррекционным) образованием населения в возрасте 7 – 17 лет</t>
  </si>
  <si>
    <t>Обеспечение стабильного функционирования образовательных организаций, экономия потребления электро- и теплоэнергии</t>
  </si>
  <si>
    <t>Увеличится удельный вес талантливых школьников, получивших поддержку со стороны государства</t>
  </si>
  <si>
    <t>5.1.</t>
  </si>
  <si>
    <t>Поддержка общеобразовательных организаций, внедряющих инновационные образовательные программы и проекты</t>
  </si>
  <si>
    <t>6.1.</t>
  </si>
  <si>
    <t xml:space="preserve">Реализация образовательных программ с применением электронного обучения и дистанционных образовательных технологий для:
- детей-инвалидов, обучающихся на дому
</t>
  </si>
  <si>
    <t>Разработка нормативных документов, регламентирующих деятельность ОУ</t>
  </si>
  <si>
    <t>Отношение среднемесячной заработной платы педагогов муниципальных организаций дополнительного образования детей к среднемесячной заработной плате учителей в Сахалинской области</t>
  </si>
  <si>
    <t xml:space="preserve"> Оплата труда работников организаций дополнительного образования детей</t>
  </si>
  <si>
    <t>Оснащение учебным, учебно-наглядным, учебно-лабораторным и другим оборудованием в соответствии с требованиями к реализации программ</t>
  </si>
  <si>
    <t>Будет приобретено оборудование для оснащения учреждений дополнительного образования</t>
  </si>
  <si>
    <t>Приобретение оборудования и материалов в соответствии с программами развития организаций</t>
  </si>
  <si>
    <t>Обеспечение стабильного функционирования учреждений дополнительного образования детей</t>
  </si>
  <si>
    <t>Повышение кадрового потенциала образовательных организаций (участие педагогов в курсах повышения квалификации)</t>
  </si>
  <si>
    <t>Повышение методического, психологического и педагогического  уровня организаторов воспитания и доп. Образования</t>
  </si>
  <si>
    <t>Повышение методического, психологического и педагогического  уровня организаторов воспитания и доп. образования</t>
  </si>
  <si>
    <t xml:space="preserve">Увеличение доли детей, участвующих в конкурсах, соревнованиях и ставших победителями и призерами </t>
  </si>
  <si>
    <t>Уменьшение количества детей в семьях, находящихся в социально опасном положении и подвергшихся жестокому обращению</t>
  </si>
  <si>
    <t>Будет в полном объеме обеспечено финансирование повышения качества учебно-воспитательного процесса</t>
  </si>
  <si>
    <t xml:space="preserve">Доля работников образовательных учреждений, получающих выплаты в соответствии с законами Сахалинской области, от числа имеющих на это право </t>
  </si>
  <si>
    <t xml:space="preserve">Повысится уровень профессионализма педагогических работников муниципальных образовательных организаций. Всем педагогам будут обеспечены возможности непрерывного профессионального развития. </t>
  </si>
  <si>
    <t xml:space="preserve">Будут обеспечены подбор и расстановка кадров в соответствии с квалификационными требованиями, установленными к педагогическим должностям </t>
  </si>
  <si>
    <t xml:space="preserve">Будет сформирована система оценки профессиональных компетенций и личностных качеств руководителей общеобразовательных организаций. </t>
  </si>
  <si>
    <t>Будет завершен переход к эффективному контракту и создана система привлечения молодых специалистов и работников с высокой мотивацией и достаточной квалификацией для обеспечения высокого качества результатов труда</t>
  </si>
  <si>
    <t xml:space="preserve">Создание системы программно-целевого подхода   непрерывного педагогического образования   педагогов муниципальных образовательных учреждений». </t>
  </si>
  <si>
    <t xml:space="preserve">Формирование резерва руководящих кадров муниципальной системы образования и механизмы его регулярного обновления и повышения квалификации                </t>
  </si>
  <si>
    <t xml:space="preserve">Создание условий   для формирования  у обучающихся положительного отношения и психологической готовности к педагогическому труду,  потребности </t>
  </si>
  <si>
    <t>Организация лагерей дневного пребывания различных видов и форм</t>
  </si>
  <si>
    <t>Открытие мастерских по технологии для обучающихся в 5-11 классах, уменьшение количества обучающихся во вторую смену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</si>
  <si>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          </t>
  </si>
  <si>
    <t>Повысится социальный статус и престиж профессии педагога.</t>
  </si>
  <si>
    <t>ИТОГО ПО МЕРОПРИЯТИЮ 2.</t>
  </si>
  <si>
    <t>ИТОГО ПО МЕРОПРИЯТИЮ 3.</t>
  </si>
  <si>
    <t>МЕРОПРИЯТИЕ 2. Создание условий для  максимального охвата детей организованными формами дошкольного образования</t>
  </si>
  <si>
    <t>Мероприятие 1. Развитие инфраструктуры доступности качественного общего образования</t>
  </si>
  <si>
    <r>
      <t>Подпрограмма № 2 «Обеспечение доступности и  качества общего образования, в том числе и в сельской</t>
    </r>
    <r>
      <rPr>
        <u/>
        <sz val="14"/>
        <rFont val="Times New Roman"/>
        <family val="1"/>
        <charset val="204"/>
      </rPr>
      <t xml:space="preserve"> </t>
    </r>
    <r>
      <rPr>
        <b/>
        <u/>
        <sz val="14"/>
        <rFont val="Times New Roman"/>
        <family val="1"/>
        <charset val="204"/>
      </rPr>
      <t xml:space="preserve">местности» </t>
    </r>
  </si>
  <si>
    <t>Мероприятие  3. Развитие инклюзивного образования</t>
  </si>
  <si>
    <t>Мероприятие 4. Выявление и поддержка одаренных детей</t>
  </si>
  <si>
    <t>Мероприятие 5. Поддержка и распространение лучших образцов педагогической практики</t>
  </si>
  <si>
    <t>Мероприятие 6. Внедрение дистанционных образовательных технологий и электронного обучения</t>
  </si>
  <si>
    <t>Мероприятие 1. Развитие нормативно-правовой базы по вопросам воспитания, дополнительного образования, профилактики социального сиротства и жестокого обращения с детьми</t>
  </si>
  <si>
    <t>Мероприятие 2. Организация предоставления дополнительного образования детей в муниципальных образовательных организациях дополнительного образования детей</t>
  </si>
  <si>
    <t>ИТОГО ПО МЕРОПРИЯТИЮ 3</t>
  </si>
  <si>
    <t>Мероприятие 4. Выявление и поддержка талантливых детей в области спорта, туризма, культуры и искусства</t>
  </si>
  <si>
    <t>ИТОГО ПО МЕРОПРИЯТИЮ 4</t>
  </si>
  <si>
    <t>Мероприятие 5. Модернизация учебно - воспитательного процесса в организациях дополнительного образования</t>
  </si>
  <si>
    <t>ИТОГО ПО МЕРОПРИЯТИЮ 5</t>
  </si>
  <si>
    <t>ВСЕГО НА РЕАЛИЗАЦИЮ ПОДПРОГРАММЫ 1</t>
  </si>
  <si>
    <t>ВСЕГО НА РЕАЛИЗАЦИЮ ПОДПРОГРАММЫ 3</t>
  </si>
  <si>
    <t>Подпрограмма 4. Развитие кадрового потенциала</t>
  </si>
  <si>
    <t>Мероприятие 1. Усиление социальной поддержки  и стимулирование  труда педагогических работников через внедрение "Эффективного контракта профессионального стандарта"</t>
  </si>
  <si>
    <t>ИТОГО ПО МЕРОПРИЯТИЮ 1</t>
  </si>
  <si>
    <t>Мероприятие 2. Обновление  состава и  компетенций педагогических кадров, создание  механизмов мотивации педагогов  к повышению  качества работы  и  непрерывному профессиональному развитию</t>
  </si>
  <si>
    <t>2.1. Развитие кадровых ресурсов муниципальной системы образования</t>
  </si>
  <si>
    <t>ИТОГО ПО МЕРОПРИЯТИЮ 2</t>
  </si>
  <si>
    <t>Мероприятие 3. Освоение и внедрение эффективных современных моделей модернизации непрерывного педагогического образования, системы переподготовки и повышения квалификации,  научно-методической поддержки педагогов и руководителей образовательных учреждений</t>
  </si>
  <si>
    <t>3.1. Реализация системы программно-целевого подхода непрерывного педагогического образования руководителей и педагогов муниципальных образовательных учреждений</t>
  </si>
  <si>
    <t>Мероприятие 4. Развитие системы профессиональной ориентации и предпрофессиональной подготовки  выпускников учреждений общего образования</t>
  </si>
  <si>
    <t>Мероприятие 5. Повышение социального  престижа и привлекательности педагогической профессии</t>
  </si>
  <si>
    <t>ВСЕГО НА РЕАЛИЗАЦИЮ ПОДПРОГРАММЫ 4</t>
  </si>
  <si>
    <t>Мероприятие 1. Организация лагерей дневного пребывания, профильных и трудовых лагерей с питанием</t>
  </si>
  <si>
    <t>ВСЕГО НА РЕАЛИЗАЦИЮ ПОДПРОГРАММЫ 5</t>
  </si>
  <si>
    <t xml:space="preserve">Оснащение учебным, учебно-наглядным и учебно-лабораторным оборудованием </t>
  </si>
  <si>
    <t>1.3. Обеспечение безопасности общеобразовательных организаций</t>
  </si>
  <si>
    <t>Управление образования администрации МО «Холмский городской округ»</t>
  </si>
  <si>
    <t xml:space="preserve">ИТОГО ПО МЕРОПРИЯТИЮ 1 </t>
  </si>
  <si>
    <t>ИТОГО ПО МЕРОПРИЯТИЮ 6</t>
  </si>
  <si>
    <t>ВСЕГО НА РЕАЛИЗАЦИЮ ПОДПРОГРАММЫ 2</t>
  </si>
  <si>
    <t>Благоустройство территории, в т.ч. разработка ПСД</t>
  </si>
  <si>
    <t>Научно - практические конференции, мастер-классы, форумы педагогов-новаторов, научно-практические семинары и круглые столы</t>
  </si>
  <si>
    <t>Муниципальный конкурс «Лидер муниципальной образовательной системы»</t>
  </si>
  <si>
    <t>Обеспечение функционирования учреждений дополнительного образования детей, в том числе с учетом современных требований энергоэффективности</t>
  </si>
  <si>
    <t>Повышение кадрового потенциала образовательных организаций (участие педагогов в областных семинарах, тренингах,конференциях)</t>
  </si>
  <si>
    <t>Подпрограмма 5. Летний отдых, оздоровление и занятость детей и молодёжи</t>
  </si>
  <si>
    <t>Подпрограмма 3 «Развитие системы воспитания, дополнительного образования, профилактики социального сиротства и жестокого обращения с детьми»</t>
  </si>
  <si>
    <t>1.1.  Строительство, реконструкция зданий дошкольных образовательных организаций, в том числе по Планам мероприятий муниципального образования «Холмский городской округ»</t>
  </si>
  <si>
    <t>1.2.  Капитальный ремонт зданий функционирующих дошкольных образовательных организаций</t>
  </si>
  <si>
    <t>Мероприятие 2. Организация временной занятости несовершеннолетних от 14 до 18 лет</t>
  </si>
  <si>
    <t>2.1. Развитие негосударственных и вариативных форм дошкольного образования</t>
  </si>
  <si>
    <t>Реализация плана поэтапного перехода к организации работы в дошкольных образовательных организациях в соответствии с федеральным государственным образовательным стандартом дошкольного образования</t>
  </si>
  <si>
    <t>Оплата труда работников общеобразовательных учреждений</t>
  </si>
  <si>
    <t>Оплата труда учителей, работающих в специальных (коррекционных) образовательных организациях для обучающихся воспитанников с ограниченными возможностями здоровья</t>
  </si>
  <si>
    <t xml:space="preserve">Обеспечение условий для детей-инвалидов, обучающихся на дому, с применением дистанционных образовательных технологий, в том числе: оплата труда учителей, работающих с детьми - инвалидами, обучающимися на дому </t>
  </si>
  <si>
    <t>Приложение № 3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</si>
  <si>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</t>
  </si>
  <si>
    <t>1.2.2.</t>
  </si>
  <si>
    <t>2016 -2017</t>
  </si>
  <si>
    <t>1.2.3.</t>
  </si>
  <si>
    <t>3.1.5.</t>
  </si>
  <si>
    <t>Обеспечение пожарной безопасности на территориях образовательных организаций и ликвидация травмоопасных факторов</t>
  </si>
  <si>
    <t>с ОСОШ(516,3)</t>
  </si>
  <si>
    <t>с ОСОШ(420,0)</t>
  </si>
  <si>
    <t>с ОСОШ (200,0)</t>
  </si>
  <si>
    <t>с ОСОШ (300,0)</t>
  </si>
  <si>
    <t>с ОСОШ (444,4+27723)</t>
  </si>
  <si>
    <t>с ОСОШ (511,6+ 18191,2)</t>
  </si>
  <si>
    <t>с ОСОШ(8463,0 + 462558,2)</t>
  </si>
  <si>
    <t>с ОСОШ(7313,+399429,7)</t>
  </si>
  <si>
    <t>с ОСОШ(7668,4+418887,9)</t>
  </si>
  <si>
    <t>с ОСОШ(420,0+11926)</t>
  </si>
  <si>
    <t>Укрепление материально – технической базы образовательных учреждений. Капитальный ремонт МАОУ СОШ с. Яблочное (фасад)</t>
  </si>
  <si>
    <t>Укрепление материально – технической базы образовательных учреждений. Капитальный ремонт купола зимнего сада МБДОУ детского сада «Теремок» г. Холмска</t>
  </si>
  <si>
    <t>Укрепление материально – технической базы образовательных учреждений. Капитальный ремонт фасада здания МБДОУ детского сада № 6 "Ромашка" г. Холмска</t>
  </si>
  <si>
    <t>Компенсация части родительской платы за присмотр и уход за детьми в дошкольных  образовательных учреждениях</t>
  </si>
  <si>
    <t>Укрепление материально – технической базы образовательных учреждений. «Капитальный ремонт МБОУ СОШ с.Костромское» по адресу: Сахалинская область, Холмский район, с. Костромское, ул. Центральная, 4</t>
  </si>
  <si>
    <t>Обновление материально-технической базы общеобразовательных учреждений</t>
  </si>
  <si>
    <t>Осуществление организации питания обучающихся в образовательных организациях</t>
  </si>
  <si>
    <t>Среднемесячная заработная плата педагогических работников муниципальных общеобразовательных организаций будет соответствовать среднемесячной начисленной заработной плате наемных работников в организациях, у индивидуальных предпринимателей и физических лиц (среднемесячного дохода от трудовой деятельности) в Сахалинской области</t>
  </si>
  <si>
    <t>Оплата труда работников  дошкольной группы при общеобразовательных учреждениях</t>
  </si>
  <si>
    <t>Оснащение учебным,учебно-наглядным и учебно-лабораторным  оборудованием дошкольной группы при общеобразовательных учреждениях</t>
  </si>
  <si>
    <t>Комфортные и безопасные условия обучения и воспитания в  учреждениях дополнительного образования</t>
  </si>
  <si>
    <t>Осуществление организации питания обучающихся в (коррекционных) образовательных организациях для обучающихся воспитанников с ограниченными возможностями здоровья</t>
  </si>
  <si>
    <t>Обеспечение стабильного функционирования  общеобразовательных организаций</t>
  </si>
  <si>
    <t xml:space="preserve">Предоставление качественного, доступного и здорового питания детям и подросткам во время учебного процесса, сохранение и укрепление их здоровья
</t>
  </si>
  <si>
    <t xml:space="preserve">Материальная поддержка воспитания и обучения детей, посещающих образовательные организации, реализующие образовательную программу дошкольного образования, родителям (законным представителям)
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</si>
  <si>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образования, в регионе повысится качество кадрового состава дошкольного образования.</t>
  </si>
  <si>
    <t>Строительство мастерских МБОУ СОШ № 9 г.Холмска</t>
  </si>
  <si>
    <t>1.2.4.</t>
  </si>
  <si>
    <t>1.3.2.</t>
  </si>
  <si>
    <t>1.3.3.</t>
  </si>
  <si>
    <t>1.3.4.</t>
  </si>
  <si>
    <t>1.4.1.</t>
  </si>
  <si>
    <t>1.4.2.</t>
  </si>
  <si>
    <t>1.5.1.</t>
  </si>
  <si>
    <t>1.6.1.</t>
  </si>
  <si>
    <t>3.2.1.1.</t>
  </si>
  <si>
    <t>3.2.3.</t>
  </si>
  <si>
    <t>3.2.4.</t>
  </si>
  <si>
    <t>3.2.5.</t>
  </si>
  <si>
    <t>3.2.6.</t>
  </si>
  <si>
    <t>1.4.3.</t>
  </si>
  <si>
    <t>2.1.2.</t>
  </si>
  <si>
    <t>2.2.1.</t>
  </si>
  <si>
    <t>3.1.3.</t>
  </si>
  <si>
    <t>3.1.6.</t>
  </si>
  <si>
    <t>4.1.</t>
  </si>
  <si>
    <t>4.2.</t>
  </si>
  <si>
    <t>2.2.5.</t>
  </si>
  <si>
    <t>2.2.6.</t>
  </si>
  <si>
    <t>2.1.3.</t>
  </si>
  <si>
    <t>2.1.4.</t>
  </si>
  <si>
    <t>5.1.2.</t>
  </si>
  <si>
    <t>5.1.3.</t>
  </si>
  <si>
    <t>5.1.4.</t>
  </si>
  <si>
    <t>5.1.5.</t>
  </si>
  <si>
    <t>5.1.6.</t>
  </si>
  <si>
    <t>5.1.7.</t>
  </si>
  <si>
    <r>
      <t xml:space="preserve">Конкурсный отбор </t>
    </r>
    <r>
      <rPr>
        <sz val="11"/>
        <color rgb="FF7030A0"/>
        <rFont val="Times New Roman"/>
        <family val="1"/>
        <charset val="204"/>
      </rPr>
      <t>обще</t>
    </r>
    <r>
      <rPr>
        <sz val="11"/>
        <rFont val="Times New Roman"/>
        <family val="1"/>
        <charset val="204"/>
      </rPr>
      <t>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  </r>
  </si>
  <si>
    <t>1.5.</t>
  </si>
  <si>
    <t>Льготный провоз школьников в пассажирском транспорте</t>
  </si>
  <si>
    <t>Обеспечение гарантированного своевременного и безопасного подвоза детей</t>
  </si>
  <si>
    <t>2017 -2020</t>
  </si>
  <si>
    <t>3.1.7.</t>
  </si>
  <si>
    <t>Обеспечение функционирования общеобразовательных учреждений, в том числе с учетом современных требований энергоэффективности</t>
  </si>
  <si>
    <t>Обеспечение функционирования учреждения, в том числе с учетом современных требований энергоэффективности</t>
  </si>
  <si>
    <t>Мероприятие 6. Социальная защита детей</t>
  </si>
  <si>
    <t>Обеспечение мер социальной поддержки детей-сирот и детей, оставшихся без попечения родителей</t>
  </si>
  <si>
    <t>Администрация МО «Холмский городской округ»</t>
  </si>
  <si>
    <t>Подпрограмма 6. Функционирование прочих учреждений образования</t>
  </si>
  <si>
    <t>Мероприятие 1. Организация ведения бюджетного (бухгалтерского), налогового учета образовательных учреждений, укрепление материально-технической базы</t>
  </si>
  <si>
    <t>Создание условий для организации и ведения бухгалтерского (бухгалтерского), налогового учета образовательных учреждений</t>
  </si>
  <si>
    <t>Мероприятие 2. Хозяйственное обслуживание учреждений образования, укрепление материально-технической базы</t>
  </si>
  <si>
    <t>Мероприятие 3. Обеспечение методического и информационного сопровождения развития муниципальной системы образования, укрепление материально-технической базы</t>
  </si>
  <si>
    <t>Обеспечение предоставления методического обслуживания в области дошкольного, общего и дополнительного образования</t>
  </si>
  <si>
    <t>ВСЕГО НА РЕАЛИЗАЦИЮ ПОДПРОГРАММЫ 6</t>
  </si>
  <si>
    <t>Создание условий для хозяйственного обслуживания учреждений образования</t>
  </si>
  <si>
    <t>снято</t>
  </si>
  <si>
    <t>разделить ДОУ 56,0</t>
  </si>
  <si>
    <t>СОШ 144,8</t>
  </si>
  <si>
    <t>УДО 39,7</t>
  </si>
  <si>
    <t>доб.6 меропр.</t>
  </si>
  <si>
    <t>"ЛИДЕР"</t>
  </si>
  <si>
    <t>убрать с 2 подпр.5 меропр.</t>
  </si>
  <si>
    <t>добавили</t>
  </si>
  <si>
    <t>тепло и свет</t>
  </si>
  <si>
    <t>прочие 611</t>
  </si>
  <si>
    <t>по 612</t>
  </si>
  <si>
    <t>добавляем</t>
  </si>
  <si>
    <t>было</t>
  </si>
  <si>
    <t>1.2.5.</t>
  </si>
  <si>
    <t>ОБ</t>
  </si>
  <si>
    <t>МБ</t>
  </si>
  <si>
    <t>фасад СОШ № 1 нам 4238,6+ СЕЗ 6465,6</t>
  </si>
  <si>
    <t>Мероприятие 6. Поддержка и распространение лучших образцов педагогической практики</t>
  </si>
  <si>
    <t>готово</t>
  </si>
  <si>
    <t>сняли 116,3</t>
  </si>
  <si>
    <t>сняли 162,8</t>
  </si>
  <si>
    <t>наше ОБ</t>
  </si>
  <si>
    <t>плюс УК</t>
  </si>
  <si>
    <t>вместе ОБ</t>
  </si>
  <si>
    <t>добавили меропр. И строку</t>
  </si>
  <si>
    <t>добавлена строка</t>
  </si>
  <si>
    <t>прочие,тек.рем.,налоги</t>
  </si>
  <si>
    <t>плюс ФОТ ГПД  и отпуск  и 112</t>
  </si>
  <si>
    <t xml:space="preserve"> и тепло 320</t>
  </si>
  <si>
    <t>с ОСОШ(8713,0 + 470270,8)</t>
  </si>
  <si>
    <t>с ФОТ ПДО</t>
  </si>
  <si>
    <t>доб строку</t>
  </si>
  <si>
    <t>доб.строку</t>
  </si>
  <si>
    <t>С ОСОШ(344,2+41546,4)</t>
  </si>
  <si>
    <t>доб.2524,5</t>
  </si>
  <si>
    <t>(279,6+19019,7)</t>
  </si>
  <si>
    <t>в т.ч ОСОШ</t>
  </si>
  <si>
    <t>доб.</t>
  </si>
  <si>
    <t>тепло и свет 440,1 плюс прочие 2676,7</t>
  </si>
  <si>
    <t>доб.3116,8</t>
  </si>
  <si>
    <t>доб.прочее 27751,9</t>
  </si>
  <si>
    <t>добав.19807,9</t>
  </si>
  <si>
    <t>исправили</t>
  </si>
  <si>
    <t>сняли 2000</t>
  </si>
  <si>
    <t>доб.20619,9</t>
  </si>
  <si>
    <t>доб.4505,7</t>
  </si>
  <si>
    <t>снять 7676,9 и 77,5</t>
  </si>
  <si>
    <t>доб.25,5 софинанс. На все</t>
  </si>
  <si>
    <t>снять 4343,0 и 37,0</t>
  </si>
  <si>
    <t>Укрепление материально – технической базы образовательных учреждений. Капитальный ремонт фасада здания  МАОУ лицей "Надежда" г.Холмска, расположенного по адресу: ул.Московская,4</t>
  </si>
  <si>
    <t>доб.3662,9 и 37</t>
  </si>
  <si>
    <t>доб.7165,3</t>
  </si>
  <si>
    <t>убрано на 4 подпр.6 меропр. 240,5</t>
  </si>
  <si>
    <t>снято 97,5 с нас ОБ</t>
  </si>
  <si>
    <t>мы-639,0</t>
  </si>
  <si>
    <t>УК-63,1</t>
  </si>
  <si>
    <t>доб.71,0</t>
  </si>
  <si>
    <t>УФ-61,7 стало</t>
  </si>
  <si>
    <t>мы-108,8</t>
  </si>
  <si>
    <t>УК-10</t>
  </si>
  <si>
    <t>УФ10,5 стало</t>
  </si>
  <si>
    <t>доб.19,2</t>
  </si>
  <si>
    <t>мы-167,8</t>
  </si>
  <si>
    <t>УК-15,4</t>
  </si>
  <si>
    <t>УФ 16,3 стало</t>
  </si>
  <si>
    <t>доб.29,7</t>
  </si>
  <si>
    <t>Комфортные условия обучения и воспитания в общеобразовательных учреждениях</t>
  </si>
  <si>
    <t>Соответствие организации подвоза школьников требованиям ГОСТа</t>
  </si>
  <si>
    <t>Обеспечение своевременной реализации социальных прав и гарантий детей-сирот и детей, оставшихся без попечения родителей</t>
  </si>
  <si>
    <t>Конкурсный отбор 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</si>
  <si>
    <t>Обеспечение деятельности Централизованной бухгалтерии учреждений образований по осуществлению бюджетного (бухгалтерского), налогового учета образовательных учреждений</t>
  </si>
  <si>
    <t>Повышение уровня обслуживания учреждений образования</t>
  </si>
  <si>
    <t>Обеспечение методического и информационного сопровождения развития муниципальной системы образования</t>
  </si>
  <si>
    <t>Льготы педагогическим работникам, работникам здравоохранения и культуры, проживающим и работающим в сельской местности, а также проживающим в городе и работающим на селе</t>
  </si>
  <si>
    <t>3.1.</t>
  </si>
  <si>
    <t>Управление образования администрации МО «Холмский городской округ» Управление культуры МО "Холмский городской округ"</t>
  </si>
  <si>
    <t>Укрепление материально – технической базы образовательных учреждений. Ремонт кровли МБДОУ детского сада «Теремок» г. Холмска</t>
  </si>
  <si>
    <t>Управление образования администрации МО «Холмский городской округ» Муниципальное казенное учреждение «Служба единого заказчика»</t>
  </si>
  <si>
    <t>Муниципальное казенное учреждение «Служба единого заказчика»</t>
  </si>
  <si>
    <t>1.4. Обеспечение функционирования общеобразовательных учреждений, в том числе с учетом современных требований энергоэффективности</t>
  </si>
  <si>
    <t xml:space="preserve">Администрация 
МО «Холмский городской округ»
</t>
  </si>
  <si>
    <t>МБУ «Отдел капитального строительства» муниципального образования "Холмский городской округ"</t>
  </si>
  <si>
    <t>1.2.6.</t>
  </si>
  <si>
    <t>Укрепление материально – технической базы образовательных учреждений. Капитальный ремонт МАОУ лицей "Надежда" г.Холмска, расположенного по адресу: ул.Победы,12; ремонт пожарной сигнализации, ремонт карниза, ремонт перекрытия 2 этажа, ремонт покрытия полов</t>
  </si>
  <si>
    <t>Укрепление материально – технической базы образовательных учреждений. Капитальный ремонт фасада здания  МАОУ СОШ № 9 г.Холмска. Капитальный ремонт входных групп здания МАОУ СОШ № 9 г.Холмска.Благоустройство территории МАОУ СОШ № 9 г.Холмска</t>
  </si>
  <si>
    <t>Мероприятие 7. Льготный провоз школьников в пассажирском транспорте</t>
  </si>
  <si>
    <t>7.1.</t>
  </si>
  <si>
    <t>2019 -2022</t>
  </si>
  <si>
    <t>Обеспечение доступности общего образования. Создание в 2022 году 400 мест для школьников.</t>
  </si>
  <si>
    <t>2015-2021</t>
  </si>
  <si>
    <t>2016 -2018</t>
  </si>
  <si>
    <t>2015-2025</t>
  </si>
  <si>
    <t>2016-2021</t>
  </si>
  <si>
    <t>2015 -2021</t>
  </si>
  <si>
    <t>2015 -2025</t>
  </si>
  <si>
    <t>2017 -2025</t>
  </si>
  <si>
    <t>2015 - 2025</t>
  </si>
  <si>
    <t>2016-2025</t>
  </si>
  <si>
    <t>2016 - 2021</t>
  </si>
  <si>
    <t>Ограждение участка административного здания по адресу: ул.Советская 68-А</t>
  </si>
  <si>
    <r>
      <t>2.3.</t>
    </r>
    <r>
      <rPr>
        <b/>
        <sz val="11"/>
        <color indexed="8"/>
        <rFont val="Times New Roman"/>
        <family val="1"/>
        <charset val="204"/>
      </rPr>
      <t xml:space="preserve"> Обеспечение безопасности организаций дополнительного образования детей</t>
    </r>
  </si>
  <si>
    <t>2019 - 2021</t>
  </si>
  <si>
    <t>Комфортные и безопасные условия обучения и воспитания в организациях дополнительного образования</t>
  </si>
  <si>
    <t>Установка систем видеонаблюдения, кнопок экстренного вызова полиции, СКУД, позволит обеспечить антитеррористическую безопасность в дошкольных образовательных организациях</t>
  </si>
  <si>
    <t>2015 - 2021</t>
  </si>
  <si>
    <t>2017 - 2025</t>
  </si>
  <si>
    <t>Аттестация педагогических работников муниципальных образовательных организаций</t>
  </si>
  <si>
    <t>Школа в г. Холмске</t>
  </si>
  <si>
    <t xml:space="preserve"> «Холмский городской округ» на 2015-2025 годы»</t>
  </si>
  <si>
    <t xml:space="preserve">к муниципальной программе «Развитие образования в муниципальном образовании «Холмский городской округ» на 2015-2025 годы» </t>
  </si>
  <si>
    <t>проыерить мб 2023 год не идет на 2,8</t>
  </si>
  <si>
    <t>ДОУ 2 благоустройство</t>
  </si>
  <si>
    <t>Золушка благоустройство</t>
  </si>
  <si>
    <t>ДОУ 4 капремонт</t>
  </si>
  <si>
    <t>Лицей капремонт</t>
  </si>
  <si>
    <t>Подпрограмма 2</t>
  </si>
  <si>
    <t>обл</t>
  </si>
  <si>
    <t>мб</t>
  </si>
  <si>
    <t>ИТОГО</t>
  </si>
  <si>
    <t>Мероприятие 7. Содействие в обеспечении образовательных учреждений муниципальных образований Сахалинской области  педагогическими кадрами</t>
  </si>
  <si>
    <t>Обучение граждан по образовательным программам высшего образования по направлению "Образование и педагогика"</t>
  </si>
  <si>
    <t>ИТОГО ПО МЕРОПРИЯТИЮ 7</t>
  </si>
  <si>
    <t>Привлечение педагогических кадров</t>
  </si>
  <si>
    <t xml:space="preserve">Укрепление материально – технической базы образовательных учреждений (капитальный ремонт, ремонт, замена оконных блоков, благоустройство территории, в том числе разработка проектно-сметной документации) </t>
  </si>
  <si>
    <t>Создание условий для функционирования лагерей с питанием: страхование, дератизация, акарицидная обработка, средства оказания первой медицинской помощи, прохождение санминимума и лабораторных исследований</t>
  </si>
  <si>
    <t>Развитие муниципальной системы выявления одаренных детей, в том числе проведение мунциипальных мероприятий, награждение одаренных школьников (медалистов, победителей и призеров предметных олимпиад), участие в региональных и всероссийских мероприятиях</t>
  </si>
  <si>
    <t>2.3.1.</t>
  </si>
  <si>
    <t>Организация и проведение мероприятий, связанных с развитием детского и молодежного движения. Участие в мероприятиях различного уровня</t>
  </si>
  <si>
    <t>Муниципальные профессиональные конкурсы: «Учитель года», «Воспитатель года», «Самый классный классный», «Сердце отдаю детям» и участие в конкурсах профессионального мастерства различного уровня</t>
  </si>
  <si>
    <t>Мероприятия по антитеррористической безопасности образовательных учреждений (оборудование системами видеонаблюдения и охранной сигнализацией, системами оповещения и управления эвакуацией,наружного освещения, постами охраны,средствами передачи тревожных сообщений в подразделения вневедомственной охраны, установка ограждений, установка системы контроля и управления доступом, в т.ч. разработка ПСД)</t>
  </si>
  <si>
    <t>Мероприятия по обеспечению антитеррористической безопасности образовательных организаций (оборудование системами видеонаблюдения и охранной сигнализацией, системами оповещения и управления эвакуацией,наружного освещения, постами охраны,средствами передачи тревожных сообщений в подразделения вневедомственной охраны, установка ограждений, установка системы контроля и управления доступом, в т.ч. разработка ПСД)</t>
  </si>
  <si>
    <t>Мероприятия по обеспечению антитеррористической безопасности организаций дополнительного образования (оборудование системами видеонаблюдения и охранной сигнализацией, системами оповещения и управления эвакуацией,наружного освещения, постами охраны,средствами передачи тревожных сообщений в подразделения вневедомственной охраны, установка ограждений, установка системы контроля и управления доступом, в т.ч. разработка ПСД)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</si>
</sst>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7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4"/>
      <name val="Arial"/>
      <family val="2"/>
      <charset val="204"/>
    </font>
    <font>
      <b/>
      <i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sz val="11"/>
      <color rgb="FF7030A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4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4">
    <xf numFmtId="0" fontId="0" fillId="0" borderId="0" xfId="0"/>
    <xf numFmtId="4" fontId="3" fillId="0" borderId="1" xfId="0" applyNumberFormat="1" applyFont="1" applyFill="1" applyBorder="1" applyAlignment="1"/>
    <xf numFmtId="4" fontId="3" fillId="0" borderId="2" xfId="0" applyNumberFormat="1" applyFont="1" applyFill="1" applyBorder="1" applyAlignment="1"/>
    <xf numFmtId="4" fontId="8" fillId="0" borderId="2" xfId="0" applyNumberFormat="1" applyFont="1" applyFill="1" applyBorder="1" applyAlignment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 applyAlignment="1"/>
    <xf numFmtId="164" fontId="7" fillId="0" borderId="2" xfId="0" applyNumberFormat="1" applyFont="1" applyFill="1" applyBorder="1" applyAlignment="1"/>
    <xf numFmtId="164" fontId="7" fillId="0" borderId="3" xfId="0" applyNumberFormat="1" applyFont="1" applyFill="1" applyBorder="1" applyAlignment="1"/>
    <xf numFmtId="164" fontId="2" fillId="0" borderId="3" xfId="0" applyNumberFormat="1" applyFont="1" applyFill="1" applyBorder="1" applyAlignment="1"/>
    <xf numFmtId="164" fontId="7" fillId="0" borderId="2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/>
    <xf numFmtId="164" fontId="8" fillId="0" borderId="2" xfId="0" applyNumberFormat="1" applyFont="1" applyFill="1" applyBorder="1" applyAlignment="1"/>
    <xf numFmtId="164" fontId="3" fillId="0" borderId="2" xfId="0" applyNumberFormat="1" applyFont="1" applyFill="1" applyBorder="1" applyAlignment="1"/>
    <xf numFmtId="164" fontId="8" fillId="0" borderId="3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>
      <alignment horizontal="justify" vertical="top" wrapText="1"/>
    </xf>
    <xf numFmtId="164" fontId="8" fillId="0" borderId="3" xfId="0" applyNumberFormat="1" applyFont="1" applyFill="1" applyBorder="1" applyAlignment="1">
      <alignment horizontal="justify" vertical="top" wrapText="1"/>
    </xf>
    <xf numFmtId="0" fontId="8" fillId="0" borderId="2" xfId="0" applyFont="1" applyFill="1" applyBorder="1" applyAlignment="1"/>
    <xf numFmtId="0" fontId="0" fillId="0" borderId="3" xfId="0" applyFill="1" applyBorder="1"/>
    <xf numFmtId="164" fontId="0" fillId="0" borderId="3" xfId="0" applyNumberFormat="1" applyFill="1" applyBorder="1"/>
    <xf numFmtId="164" fontId="3" fillId="0" borderId="3" xfId="0" applyNumberFormat="1" applyFont="1" applyFill="1" applyBorder="1"/>
    <xf numFmtId="164" fontId="3" fillId="0" borderId="3" xfId="0" applyNumberFormat="1" applyFont="1" applyFill="1" applyBorder="1" applyAlignment="1"/>
    <xf numFmtId="0" fontId="14" fillId="0" borderId="0" xfId="0" applyFont="1" applyFill="1"/>
    <xf numFmtId="0" fontId="6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0" borderId="3" xfId="0" applyFont="1" applyFill="1" applyBorder="1" applyAlignment="1"/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7" fillId="0" borderId="0" xfId="0" applyFont="1" applyFill="1" applyBorder="1" applyAlignment="1">
      <alignment vertical="top" wrapText="1"/>
    </xf>
    <xf numFmtId="164" fontId="0" fillId="0" borderId="2" xfId="0" applyNumberFormat="1" applyFill="1" applyBorder="1" applyAlignment="1"/>
    <xf numFmtId="0" fontId="8" fillId="0" borderId="5" xfId="0" applyFont="1" applyFill="1" applyBorder="1" applyAlignment="1">
      <alignment horizontal="justify" vertical="top" wrapText="1"/>
    </xf>
    <xf numFmtId="0" fontId="8" fillId="0" borderId="6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wrapText="1"/>
    </xf>
    <xf numFmtId="0" fontId="3" fillId="0" borderId="3" xfId="0" applyFont="1" applyFill="1" applyBorder="1"/>
    <xf numFmtId="0" fontId="0" fillId="0" borderId="0" xfId="0" applyFill="1" applyBorder="1" applyAlignment="1">
      <alignment horizontal="justify" vertical="top" wrapText="1"/>
    </xf>
    <xf numFmtId="0" fontId="7" fillId="0" borderId="0" xfId="0" applyFont="1" applyFill="1" applyBorder="1" applyAlignment="1">
      <alignment horizontal="justify" vertical="top" wrapText="1"/>
    </xf>
    <xf numFmtId="0" fontId="11" fillId="0" borderId="3" xfId="0" applyFont="1" applyFill="1" applyBorder="1" applyAlignment="1">
      <alignment horizontal="justify" vertical="top" wrapText="1"/>
    </xf>
    <xf numFmtId="0" fontId="14" fillId="0" borderId="7" xfId="0" applyFont="1" applyFill="1" applyBorder="1" applyAlignment="1">
      <alignment vertical="top" wrapText="1"/>
    </xf>
    <xf numFmtId="0" fontId="14" fillId="0" borderId="8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 wrapText="1"/>
    </xf>
    <xf numFmtId="0" fontId="14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/>
    <xf numFmtId="0" fontId="3" fillId="0" borderId="4" xfId="0" applyFont="1" applyFill="1" applyBorder="1" applyAlignment="1"/>
    <xf numFmtId="164" fontId="8" fillId="0" borderId="3" xfId="0" applyNumberFormat="1" applyFont="1" applyFill="1" applyBorder="1" applyAlignment="1"/>
    <xf numFmtId="0" fontId="15" fillId="0" borderId="0" xfId="0" applyFont="1" applyFill="1" applyBorder="1" applyAlignment="1">
      <alignment horizontal="justify" vertical="top" wrapText="1"/>
    </xf>
    <xf numFmtId="4" fontId="0" fillId="0" borderId="0" xfId="0" applyNumberFormat="1" applyFill="1" applyBorder="1"/>
    <xf numFmtId="0" fontId="18" fillId="0" borderId="0" xfId="0" applyFont="1" applyFill="1" applyBorder="1" applyAlignment="1">
      <alignment horizontal="justify" vertical="top" wrapText="1"/>
    </xf>
    <xf numFmtId="0" fontId="0" fillId="0" borderId="0" xfId="0" applyFill="1" applyBorder="1" applyAlignment="1"/>
    <xf numFmtId="0" fontId="8" fillId="0" borderId="11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/>
    <xf numFmtId="0" fontId="2" fillId="0" borderId="2" xfId="0" applyFont="1" applyFill="1" applyBorder="1"/>
    <xf numFmtId="0" fontId="20" fillId="0" borderId="11" xfId="0" applyFont="1" applyFill="1" applyBorder="1" applyAlignment="1">
      <alignment wrapText="1"/>
    </xf>
    <xf numFmtId="0" fontId="20" fillId="0" borderId="12" xfId="0" applyFont="1" applyFill="1" applyBorder="1" applyAlignment="1">
      <alignment wrapText="1"/>
    </xf>
    <xf numFmtId="0" fontId="8" fillId="0" borderId="2" xfId="0" applyFont="1" applyFill="1" applyBorder="1" applyAlignment="1">
      <alignment horizontal="justify" vertical="top" wrapText="1"/>
    </xf>
    <xf numFmtId="0" fontId="20" fillId="0" borderId="11" xfId="0" applyFont="1" applyFill="1" applyBorder="1" applyAlignment="1">
      <alignment horizontal="justify" vertical="top" wrapText="1"/>
    </xf>
    <xf numFmtId="0" fontId="20" fillId="0" borderId="12" xfId="0" applyFont="1" applyFill="1" applyBorder="1" applyAlignment="1">
      <alignment horizontal="justify" vertical="top" wrapText="1"/>
    </xf>
    <xf numFmtId="0" fontId="20" fillId="0" borderId="0" xfId="0" applyFont="1" applyFill="1" applyBorder="1" applyAlignment="1">
      <alignment vertical="top" wrapText="1"/>
    </xf>
    <xf numFmtId="0" fontId="20" fillId="0" borderId="9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vertical="top" wrapText="1"/>
    </xf>
    <xf numFmtId="0" fontId="15" fillId="0" borderId="12" xfId="0" applyFont="1" applyFill="1" applyBorder="1" applyAlignment="1">
      <alignment vertical="top" wrapText="1"/>
    </xf>
    <xf numFmtId="0" fontId="18" fillId="0" borderId="11" xfId="0" applyFont="1" applyFill="1" applyBorder="1" applyAlignment="1">
      <alignment wrapText="1"/>
    </xf>
    <xf numFmtId="0" fontId="18" fillId="0" borderId="12" xfId="0" applyFont="1" applyFill="1" applyBorder="1" applyAlignment="1">
      <alignment wrapText="1"/>
    </xf>
    <xf numFmtId="0" fontId="8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12" xfId="0" applyFont="1" applyFill="1" applyBorder="1" applyAlignment="1">
      <alignment horizontal="justify" vertical="top" wrapText="1"/>
    </xf>
    <xf numFmtId="0" fontId="16" fillId="0" borderId="11" xfId="0" applyFont="1" applyFill="1" applyBorder="1" applyAlignment="1">
      <alignment wrapText="1"/>
    </xf>
    <xf numFmtId="0" fontId="16" fillId="0" borderId="12" xfId="0" applyFont="1" applyFill="1" applyBorder="1" applyAlignment="1">
      <alignment wrapText="1"/>
    </xf>
    <xf numFmtId="0" fontId="7" fillId="0" borderId="7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vertical="top" wrapText="1"/>
    </xf>
    <xf numFmtId="0" fontId="8" fillId="0" borderId="7" xfId="0" applyFont="1" applyFill="1" applyBorder="1" applyAlignment="1">
      <alignment wrapText="1"/>
    </xf>
    <xf numFmtId="0" fontId="8" fillId="0" borderId="8" xfId="0" applyFont="1" applyFill="1" applyBorder="1" applyAlignment="1">
      <alignment wrapText="1"/>
    </xf>
    <xf numFmtId="4" fontId="3" fillId="0" borderId="4" xfId="0" applyNumberFormat="1" applyFont="1" applyFill="1" applyBorder="1" applyAlignment="1">
      <alignment horizontal="justify" vertical="top" wrapText="1"/>
    </xf>
    <xf numFmtId="0" fontId="8" fillId="0" borderId="11" xfId="0" applyFont="1" applyFill="1" applyBorder="1" applyAlignment="1">
      <alignment vertical="top" wrapText="1"/>
    </xf>
    <xf numFmtId="0" fontId="8" fillId="0" borderId="12" xfId="0" applyFont="1" applyFill="1" applyBorder="1" applyAlignment="1">
      <alignment vertical="top" wrapText="1"/>
    </xf>
    <xf numFmtId="0" fontId="11" fillId="0" borderId="11" xfId="0" applyFont="1" applyFill="1" applyBorder="1" applyAlignment="1">
      <alignment wrapText="1"/>
    </xf>
    <xf numFmtId="0" fontId="11" fillId="0" borderId="12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justify" vertical="top" wrapText="1"/>
    </xf>
    <xf numFmtId="164" fontId="3" fillId="0" borderId="15" xfId="0" applyNumberFormat="1" applyFont="1" applyFill="1" applyBorder="1" applyAlignment="1">
      <alignment horizontal="justify" vertical="top" wrapText="1"/>
    </xf>
    <xf numFmtId="0" fontId="7" fillId="0" borderId="11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164" fontId="3" fillId="0" borderId="10" xfId="0" applyNumberFormat="1" applyFont="1" applyFill="1" applyBorder="1" applyAlignment="1"/>
    <xf numFmtId="0" fontId="0" fillId="0" borderId="2" xfId="0" applyFill="1" applyBorder="1"/>
    <xf numFmtId="0" fontId="20" fillId="0" borderId="5" xfId="0" applyFont="1" applyFill="1" applyBorder="1" applyAlignment="1">
      <alignment vertical="top" wrapText="1"/>
    </xf>
    <xf numFmtId="0" fontId="20" fillId="0" borderId="6" xfId="0" applyFont="1" applyFill="1" applyBorder="1" applyAlignment="1">
      <alignment vertical="top" wrapText="1"/>
    </xf>
    <xf numFmtId="2" fontId="0" fillId="0" borderId="0" xfId="0" applyNumberFormat="1" applyFill="1"/>
    <xf numFmtId="0" fontId="14" fillId="0" borderId="2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wrapText="1"/>
    </xf>
    <xf numFmtId="0" fontId="14" fillId="0" borderId="12" xfId="0" applyFont="1" applyFill="1" applyBorder="1" applyAlignment="1">
      <alignment wrapText="1"/>
    </xf>
    <xf numFmtId="0" fontId="11" fillId="0" borderId="2" xfId="0" applyFont="1" applyFill="1" applyBorder="1" applyAlignment="1">
      <alignment horizontal="justify" vertical="top" wrapText="1"/>
    </xf>
    <xf numFmtId="164" fontId="11" fillId="0" borderId="2" xfId="0" applyNumberFormat="1" applyFont="1" applyFill="1" applyBorder="1" applyAlignment="1">
      <alignment horizontal="justify" vertical="top" wrapText="1"/>
    </xf>
    <xf numFmtId="164" fontId="3" fillId="0" borderId="16" xfId="0" applyNumberFormat="1" applyFont="1" applyFill="1" applyBorder="1" applyAlignment="1"/>
    <xf numFmtId="0" fontId="0" fillId="0" borderId="3" xfId="0" applyFill="1" applyBorder="1" applyAlignment="1"/>
    <xf numFmtId="0" fontId="8" fillId="0" borderId="37" xfId="0" applyFont="1" applyFill="1" applyBorder="1" applyAlignment="1">
      <alignment horizontal="justify" vertical="top" wrapText="1"/>
    </xf>
    <xf numFmtId="164" fontId="8" fillId="0" borderId="37" xfId="0" applyNumberFormat="1" applyFont="1" applyFill="1" applyBorder="1" applyAlignment="1">
      <alignment horizontal="justify" vertical="top" wrapText="1"/>
    </xf>
    <xf numFmtId="0" fontId="8" fillId="0" borderId="38" xfId="0" applyFont="1" applyFill="1" applyBorder="1" applyAlignment="1">
      <alignment horizontal="justify" vertical="top" wrapText="1"/>
    </xf>
    <xf numFmtId="0" fontId="16" fillId="0" borderId="37" xfId="0" applyFont="1" applyFill="1" applyBorder="1" applyAlignment="1">
      <alignment horizontal="justify" vertical="top" wrapText="1"/>
    </xf>
    <xf numFmtId="164" fontId="11" fillId="0" borderId="37" xfId="0" applyNumberFormat="1" applyFont="1" applyFill="1" applyBorder="1" applyAlignment="1">
      <alignment horizontal="justify" vertical="top" wrapText="1"/>
    </xf>
    <xf numFmtId="0" fontId="11" fillId="0" borderId="38" xfId="0" applyFont="1" applyFill="1" applyBorder="1" applyAlignment="1">
      <alignment horizontal="justify" vertical="top" wrapText="1"/>
    </xf>
    <xf numFmtId="0" fontId="1" fillId="0" borderId="0" xfId="0" applyFont="1" applyFill="1"/>
    <xf numFmtId="0" fontId="8" fillId="0" borderId="16" xfId="0" applyFont="1" applyFill="1" applyBorder="1" applyAlignment="1">
      <alignment horizontal="justify" vertical="top" wrapText="1"/>
    </xf>
    <xf numFmtId="0" fontId="2" fillId="0" borderId="16" xfId="0" applyFont="1" applyFill="1" applyBorder="1"/>
    <xf numFmtId="164" fontId="2" fillId="0" borderId="37" xfId="0" applyNumberFormat="1" applyFont="1" applyFill="1" applyBorder="1"/>
    <xf numFmtId="0" fontId="2" fillId="0" borderId="38" xfId="0" applyFont="1" applyFill="1" applyBorder="1"/>
    <xf numFmtId="0" fontId="1" fillId="0" borderId="0" xfId="0" applyFont="1" applyFill="1" applyBorder="1"/>
    <xf numFmtId="0" fontId="29" fillId="0" borderId="0" xfId="0" applyFont="1" applyFill="1"/>
    <xf numFmtId="164" fontId="3" fillId="0" borderId="0" xfId="0" applyNumberFormat="1" applyFont="1" applyFill="1" applyBorder="1" applyAlignment="1"/>
    <xf numFmtId="164" fontId="0" fillId="0" borderId="0" xfId="0" applyNumberFormat="1" applyFill="1"/>
    <xf numFmtId="0" fontId="0" fillId="0" borderId="10" xfId="0" applyFill="1" applyBorder="1"/>
    <xf numFmtId="0" fontId="0" fillId="0" borderId="23" xfId="0" applyFill="1" applyBorder="1"/>
    <xf numFmtId="164" fontId="0" fillId="0" borderId="23" xfId="0" applyNumberFormat="1" applyFill="1" applyBorder="1"/>
    <xf numFmtId="0" fontId="0" fillId="0" borderId="23" xfId="0" applyFill="1" applyBorder="1" applyAlignment="1">
      <alignment horizontal="right"/>
    </xf>
    <xf numFmtId="0" fontId="0" fillId="0" borderId="4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164" fontId="3" fillId="0" borderId="4" xfId="0" applyNumberFormat="1" applyFont="1" applyFill="1" applyBorder="1" applyAlignment="1"/>
    <xf numFmtId="4" fontId="0" fillId="0" borderId="0" xfId="0" applyNumberFormat="1" applyFill="1"/>
    <xf numFmtId="164" fontId="1" fillId="0" borderId="0" xfId="0" applyNumberFormat="1" applyFont="1" applyFill="1"/>
    <xf numFmtId="0" fontId="7" fillId="0" borderId="4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1" fillId="0" borderId="23" xfId="0" applyFont="1" applyFill="1" applyBorder="1"/>
    <xf numFmtId="164" fontId="0" fillId="0" borderId="10" xfId="0" applyNumberFormat="1" applyFill="1" applyBorder="1"/>
    <xf numFmtId="164" fontId="0" fillId="0" borderId="4" xfId="0" applyNumberFormat="1" applyFill="1" applyBorder="1"/>
    <xf numFmtId="164" fontId="0" fillId="0" borderId="0" xfId="0" applyNumberFormat="1" applyFill="1" applyBorder="1"/>
    <xf numFmtId="0" fontId="1" fillId="0" borderId="10" xfId="0" applyFont="1" applyFill="1" applyBorder="1"/>
    <xf numFmtId="164" fontId="33" fillId="0" borderId="0" xfId="0" applyNumberFormat="1" applyFont="1" applyFill="1"/>
    <xf numFmtId="0" fontId="33" fillId="0" borderId="0" xfId="0" applyFont="1" applyFill="1"/>
    <xf numFmtId="164" fontId="2" fillId="0" borderId="0" xfId="0" applyNumberFormat="1" applyFont="1" applyFill="1" applyBorder="1" applyAlignment="1">
      <alignment horizontal="center"/>
    </xf>
    <xf numFmtId="164" fontId="34" fillId="0" borderId="11" xfId="0" applyNumberFormat="1" applyFont="1" applyFill="1" applyBorder="1" applyAlignment="1">
      <alignment horizontal="justify" vertical="top" wrapText="1"/>
    </xf>
    <xf numFmtId="0" fontId="34" fillId="0" borderId="11" xfId="0" applyFont="1" applyFill="1" applyBorder="1" applyAlignment="1">
      <alignment horizontal="justify" vertical="top" wrapText="1"/>
    </xf>
    <xf numFmtId="164" fontId="35" fillId="0" borderId="7" xfId="0" applyNumberFormat="1" applyFont="1" applyFill="1" applyBorder="1" applyAlignment="1">
      <alignment horizontal="justify" vertical="top" wrapText="1"/>
    </xf>
    <xf numFmtId="0" fontId="35" fillId="0" borderId="7" xfId="0" applyFont="1" applyFill="1" applyBorder="1" applyAlignment="1">
      <alignment horizontal="justify" vertical="top" wrapText="1"/>
    </xf>
    <xf numFmtId="4" fontId="33" fillId="0" borderId="0" xfId="0" applyNumberFormat="1" applyFont="1" applyFill="1" applyBorder="1"/>
    <xf numFmtId="0" fontId="33" fillId="0" borderId="0" xfId="0" applyFont="1" applyFill="1" applyBorder="1"/>
    <xf numFmtId="4" fontId="33" fillId="0" borderId="0" xfId="0" applyNumberFormat="1" applyFont="1" applyFill="1"/>
    <xf numFmtId="0" fontId="8" fillId="0" borderId="3" xfId="0" applyFont="1" applyFill="1" applyBorder="1" applyAlignment="1">
      <alignment horizontal="right" wrapText="1"/>
    </xf>
    <xf numFmtId="0" fontId="1" fillId="0" borderId="4" xfId="0" applyFont="1" applyFill="1" applyBorder="1"/>
    <xf numFmtId="0" fontId="1" fillId="0" borderId="23" xfId="0" applyFont="1" applyFill="1" applyBorder="1" applyAlignment="1">
      <alignment horizontal="center"/>
    </xf>
    <xf numFmtId="164" fontId="33" fillId="0" borderId="0" xfId="0" applyNumberFormat="1" applyFont="1" applyFill="1" applyBorder="1"/>
    <xf numFmtId="164" fontId="7" fillId="0" borderId="2" xfId="0" applyNumberFormat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/>
    <xf numFmtId="164" fontId="7" fillId="0" borderId="3" xfId="0" applyNumberFormat="1" applyFont="1" applyFill="1" applyBorder="1"/>
    <xf numFmtId="164" fontId="7" fillId="0" borderId="3" xfId="0" applyNumberFormat="1" applyFont="1" applyFill="1" applyBorder="1" applyAlignment="1">
      <alignment horizontal="justify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right" vertical="top" wrapText="1"/>
    </xf>
    <xf numFmtId="164" fontId="7" fillId="0" borderId="37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justify" vertical="top" wrapText="1"/>
    </xf>
    <xf numFmtId="164" fontId="7" fillId="0" borderId="2" xfId="0" applyNumberFormat="1" applyFont="1" applyFill="1" applyBorder="1" applyAlignment="1">
      <alignment vertical="top" wrapText="1"/>
    </xf>
    <xf numFmtId="0" fontId="23" fillId="0" borderId="2" xfId="0" applyFont="1" applyFill="1" applyBorder="1" applyAlignment="1">
      <alignment vertical="top" wrapText="1"/>
    </xf>
    <xf numFmtId="164" fontId="7" fillId="0" borderId="16" xfId="0" applyNumberFormat="1" applyFont="1" applyFill="1" applyBorder="1" applyAlignment="1"/>
    <xf numFmtId="164" fontId="2" fillId="0" borderId="16" xfId="0" applyNumberFormat="1" applyFont="1" applyFill="1" applyBorder="1" applyAlignment="1"/>
    <xf numFmtId="164" fontId="2" fillId="0" borderId="2" xfId="0" applyNumberFormat="1" applyFont="1" applyFill="1" applyBorder="1" applyAlignment="1">
      <alignment horizontal="right" vertical="top" wrapText="1"/>
    </xf>
    <xf numFmtId="164" fontId="2" fillId="0" borderId="4" xfId="0" applyNumberFormat="1" applyFont="1" applyFill="1" applyBorder="1" applyAlignment="1">
      <alignment horizontal="right" vertical="top" wrapText="1"/>
    </xf>
    <xf numFmtId="164" fontId="7" fillId="0" borderId="4" xfId="0" applyNumberFormat="1" applyFont="1" applyFill="1" applyBorder="1" applyAlignment="1">
      <alignment horizontal="right" wrapText="1"/>
    </xf>
    <xf numFmtId="164" fontId="7" fillId="0" borderId="4" xfId="0" applyNumberFormat="1" applyFont="1" applyFill="1" applyBorder="1" applyAlignment="1">
      <alignment horizontal="right" vertical="top" wrapText="1"/>
    </xf>
    <xf numFmtId="164" fontId="2" fillId="0" borderId="29" xfId="0" applyNumberFormat="1" applyFont="1" applyFill="1" applyBorder="1" applyAlignment="1">
      <alignment horizontal="right" vertical="top" wrapText="1"/>
    </xf>
    <xf numFmtId="164" fontId="7" fillId="0" borderId="15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justify" vertical="top" wrapText="1"/>
    </xf>
    <xf numFmtId="4" fontId="2" fillId="0" borderId="2" xfId="0" applyNumberFormat="1" applyFont="1" applyFill="1" applyBorder="1" applyAlignment="1"/>
    <xf numFmtId="0" fontId="11" fillId="0" borderId="37" xfId="0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justify" wrapText="1"/>
    </xf>
    <xf numFmtId="0" fontId="8" fillId="0" borderId="45" xfId="0" applyFont="1" applyFill="1" applyBorder="1" applyAlignment="1"/>
    <xf numFmtId="164" fontId="7" fillId="0" borderId="45" xfId="0" applyNumberFormat="1" applyFont="1" applyFill="1" applyBorder="1" applyAlignment="1"/>
    <xf numFmtId="0" fontId="14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/>
    <xf numFmtId="0" fontId="0" fillId="0" borderId="37" xfId="0" applyFill="1" applyBorder="1"/>
    <xf numFmtId="164" fontId="7" fillId="0" borderId="37" xfId="0" applyNumberFormat="1" applyFont="1" applyFill="1" applyBorder="1"/>
    <xf numFmtId="164" fontId="12" fillId="0" borderId="37" xfId="0" applyNumberFormat="1" applyFont="1" applyFill="1" applyBorder="1"/>
    <xf numFmtId="0" fontId="0" fillId="0" borderId="38" xfId="0" applyFill="1" applyBorder="1"/>
    <xf numFmtId="164" fontId="7" fillId="0" borderId="16" xfId="0" applyNumberFormat="1" applyFont="1" applyFill="1" applyBorder="1" applyAlignment="1">
      <alignment horizontal="justify" vertical="top" wrapText="1"/>
    </xf>
    <xf numFmtId="164" fontId="8" fillId="0" borderId="16" xfId="0" applyNumberFormat="1" applyFont="1" applyFill="1" applyBorder="1" applyAlignment="1">
      <alignment horizontal="justify" vertical="top" wrapText="1"/>
    </xf>
    <xf numFmtId="0" fontId="14" fillId="0" borderId="37" xfId="0" applyFont="1" applyFill="1" applyBorder="1" applyAlignment="1">
      <alignment horizontal="justify" vertical="top" wrapText="1"/>
    </xf>
    <xf numFmtId="164" fontId="14" fillId="0" borderId="37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wrapText="1"/>
    </xf>
    <xf numFmtId="164" fontId="7" fillId="0" borderId="27" xfId="0" applyNumberFormat="1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44" xfId="0" applyFont="1" applyFill="1" applyBorder="1"/>
    <xf numFmtId="164" fontId="7" fillId="0" borderId="15" xfId="0" applyNumberFormat="1" applyFont="1" applyFill="1" applyBorder="1" applyAlignment="1">
      <alignment horizontal="right" wrapText="1"/>
    </xf>
    <xf numFmtId="164" fontId="3" fillId="0" borderId="29" xfId="0" applyNumberFormat="1" applyFont="1" applyFill="1" applyBorder="1" applyAlignment="1">
      <alignment horizontal="justify" vertical="top" wrapText="1"/>
    </xf>
    <xf numFmtId="164" fontId="3" fillId="0" borderId="19" xfId="0" applyNumberFormat="1" applyFont="1" applyFill="1" applyBorder="1" applyAlignment="1"/>
    <xf numFmtId="0" fontId="14" fillId="0" borderId="1" xfId="0" applyFont="1" applyFill="1" applyBorder="1" applyAlignment="1">
      <alignment horizontal="justify" vertical="center" wrapText="1"/>
    </xf>
    <xf numFmtId="0" fontId="21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/>
    <xf numFmtId="0" fontId="8" fillId="0" borderId="37" xfId="0" applyFont="1" applyFill="1" applyBorder="1" applyAlignment="1">
      <alignment horizontal="right" wrapText="1"/>
    </xf>
    <xf numFmtId="164" fontId="7" fillId="0" borderId="37" xfId="0" applyNumberFormat="1" applyFont="1" applyFill="1" applyBorder="1" applyAlignment="1">
      <alignment horizontal="right" wrapText="1"/>
    </xf>
    <xf numFmtId="0" fontId="14" fillId="0" borderId="29" xfId="0" applyFont="1" applyFill="1" applyBorder="1" applyAlignment="1">
      <alignment horizontal="justify" vertical="center" wrapText="1"/>
    </xf>
    <xf numFmtId="0" fontId="14" fillId="0" borderId="4" xfId="0" applyFont="1" applyFill="1" applyBorder="1" applyAlignment="1">
      <alignment horizontal="justify" vertical="top" wrapText="1"/>
    </xf>
    <xf numFmtId="164" fontId="7" fillId="0" borderId="45" xfId="0" applyNumberFormat="1" applyFont="1" applyFill="1" applyBorder="1" applyAlignment="1">
      <alignment horizontal="right" vertical="top" wrapText="1"/>
    </xf>
    <xf numFmtId="0" fontId="14" fillId="0" borderId="43" xfId="0" applyFont="1" applyFill="1" applyBorder="1" applyAlignment="1">
      <alignment horizontal="justify" vertical="center" wrapText="1"/>
    </xf>
    <xf numFmtId="0" fontId="21" fillId="0" borderId="43" xfId="0" applyFont="1" applyFill="1" applyBorder="1" applyAlignment="1">
      <alignment horizontal="justify" vertical="center" wrapText="1"/>
    </xf>
    <xf numFmtId="0" fontId="2" fillId="0" borderId="43" xfId="0" applyFont="1" applyFill="1" applyBorder="1" applyAlignment="1">
      <alignment vertical="center" wrapText="1"/>
    </xf>
    <xf numFmtId="0" fontId="2" fillId="0" borderId="53" xfId="0" applyFont="1" applyFill="1" applyBorder="1"/>
    <xf numFmtId="0" fontId="14" fillId="0" borderId="45" xfId="0" applyFont="1" applyFill="1" applyBorder="1" applyAlignment="1">
      <alignment horizontal="justify" vertical="top" wrapText="1"/>
    </xf>
    <xf numFmtId="164" fontId="7" fillId="0" borderId="45" xfId="0" applyNumberFormat="1" applyFont="1" applyFill="1" applyBorder="1" applyAlignment="1">
      <alignment vertical="top"/>
    </xf>
    <xf numFmtId="0" fontId="2" fillId="0" borderId="0" xfId="0" applyFont="1" applyFill="1" applyBorder="1"/>
    <xf numFmtId="4" fontId="0" fillId="0" borderId="0" xfId="0" applyNumberFormat="1"/>
    <xf numFmtId="4" fontId="0" fillId="2" borderId="0" xfId="0" applyNumberFormat="1" applyFill="1"/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9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22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justify" vertical="top" wrapText="1"/>
    </xf>
    <xf numFmtId="0" fontId="0" fillId="0" borderId="2" xfId="0" applyFill="1" applyBorder="1" applyAlignment="1"/>
    <xf numFmtId="0" fontId="0" fillId="0" borderId="2" xfId="0" applyFill="1" applyBorder="1" applyAlignment="1">
      <alignment wrapText="1"/>
    </xf>
    <xf numFmtId="0" fontId="2" fillId="0" borderId="2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/>
    <xf numFmtId="0" fontId="14" fillId="0" borderId="14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wrapText="1"/>
    </xf>
    <xf numFmtId="0" fontId="14" fillId="0" borderId="46" xfId="0" applyFont="1" applyFill="1" applyBorder="1" applyAlignment="1">
      <alignment horizontal="center" wrapText="1"/>
    </xf>
    <xf numFmtId="0" fontId="7" fillId="0" borderId="31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47" xfId="0" applyFont="1" applyFill="1" applyBorder="1" applyAlignment="1">
      <alignment horizontal="center" wrapText="1"/>
    </xf>
    <xf numFmtId="0" fontId="7" fillId="0" borderId="24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46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/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justify" vertical="top" wrapText="1"/>
    </xf>
    <xf numFmtId="0" fontId="9" fillId="0" borderId="11" xfId="0" applyFont="1" applyFill="1" applyBorder="1" applyAlignment="1">
      <alignment horizontal="justify" vertical="top" wrapText="1"/>
    </xf>
    <xf numFmtId="0" fontId="9" fillId="0" borderId="5" xfId="0" applyFont="1" applyFill="1" applyBorder="1" applyAlignment="1">
      <alignment horizontal="justify" vertical="top" wrapText="1"/>
    </xf>
    <xf numFmtId="0" fontId="14" fillId="0" borderId="32" xfId="0" applyFont="1" applyFill="1" applyBorder="1" applyAlignment="1">
      <alignment horizontal="justify" vertical="top" wrapText="1"/>
    </xf>
    <xf numFmtId="0" fontId="22" fillId="0" borderId="11" xfId="0" applyFont="1" applyFill="1" applyBorder="1" applyAlignment="1">
      <alignment horizontal="justify" vertical="top" wrapText="1"/>
    </xf>
    <xf numFmtId="0" fontId="22" fillId="0" borderId="12" xfId="0" applyFont="1" applyFill="1" applyBorder="1" applyAlignment="1">
      <alignment horizontal="justify" vertical="top" wrapText="1"/>
    </xf>
    <xf numFmtId="0" fontId="3" fillId="0" borderId="16" xfId="0" applyFont="1" applyFill="1" applyBorder="1" applyAlignment="1">
      <alignment horizontal="justify" wrapText="1"/>
    </xf>
    <xf numFmtId="0" fontId="22" fillId="0" borderId="16" xfId="0" applyFont="1" applyFill="1" applyBorder="1" applyAlignment="1"/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10" fillId="0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7" fillId="0" borderId="32" xfId="0" applyFont="1" applyFill="1" applyBorder="1" applyAlignment="1">
      <alignment horizontal="justify" vertical="top" wrapText="1"/>
    </xf>
    <xf numFmtId="0" fontId="3" fillId="0" borderId="16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17" fillId="0" borderId="10" xfId="0" applyFont="1" applyFill="1" applyBorder="1" applyAlignment="1">
      <alignment wrapText="1"/>
    </xf>
    <xf numFmtId="0" fontId="9" fillId="0" borderId="23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  <xf numFmtId="0" fontId="14" fillId="0" borderId="3" xfId="0" applyFont="1" applyFill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49" fontId="10" fillId="0" borderId="2" xfId="0" applyNumberFormat="1" applyFont="1" applyFill="1" applyBorder="1" applyAlignment="1">
      <alignment horizontal="justify" wrapText="1"/>
    </xf>
    <xf numFmtId="49" fontId="0" fillId="0" borderId="2" xfId="0" applyNumberFormat="1" applyFill="1" applyBorder="1" applyAlignment="1"/>
    <xf numFmtId="49" fontId="0" fillId="0" borderId="3" xfId="0" applyNumberFormat="1" applyFill="1" applyBorder="1" applyAlignment="1"/>
    <xf numFmtId="0" fontId="2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top" wrapText="1"/>
    </xf>
    <xf numFmtId="0" fontId="36" fillId="0" borderId="16" xfId="0" applyFont="1" applyFill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49" fontId="10" fillId="0" borderId="19" xfId="0" applyNumberFormat="1" applyFont="1" applyFill="1" applyBorder="1" applyAlignment="1">
      <alignment horizontal="justify" wrapText="1"/>
    </xf>
    <xf numFmtId="49" fontId="0" fillId="0" borderId="10" xfId="0" applyNumberFormat="1" applyFill="1" applyBorder="1" applyAlignment="1"/>
    <xf numFmtId="49" fontId="0" fillId="0" borderId="13" xfId="0" applyNumberFormat="1" applyFill="1" applyBorder="1" applyAlignment="1"/>
    <xf numFmtId="0" fontId="2" fillId="0" borderId="30" xfId="0" applyFont="1" applyFill="1" applyBorder="1" applyAlignment="1">
      <alignment wrapText="1"/>
    </xf>
    <xf numFmtId="0" fontId="9" fillId="0" borderId="30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justify" wrapText="1"/>
    </xf>
    <xf numFmtId="0" fontId="1" fillId="0" borderId="39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2" fillId="0" borderId="21" xfId="0" applyFont="1" applyFill="1" applyBorder="1" applyAlignment="1">
      <alignment wrapText="1"/>
    </xf>
    <xf numFmtId="0" fontId="2" fillId="0" borderId="26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19" fillId="0" borderId="2" xfId="0" applyFont="1" applyFill="1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justify" wrapText="1"/>
    </xf>
    <xf numFmtId="0" fontId="9" fillId="0" borderId="23" xfId="0" applyFont="1" applyFill="1" applyBorder="1" applyAlignment="1">
      <alignment horizontal="justify" wrapText="1"/>
    </xf>
    <xf numFmtId="0" fontId="9" fillId="0" borderId="4" xfId="0" applyFont="1" applyFill="1" applyBorder="1" applyAlignment="1">
      <alignment horizontal="justify" wrapText="1"/>
    </xf>
    <xf numFmtId="49" fontId="3" fillId="0" borderId="16" xfId="0" applyNumberFormat="1" applyFont="1" applyFill="1" applyBorder="1" applyAlignment="1"/>
    <xf numFmtId="49" fontId="3" fillId="0" borderId="1" xfId="0" applyNumberFormat="1" applyFont="1" applyFill="1" applyBorder="1" applyAlignment="1"/>
    <xf numFmtId="0" fontId="10" fillId="0" borderId="2" xfId="0" applyFont="1" applyFill="1" applyBorder="1" applyAlignment="1">
      <alignment horizontal="justify" wrapText="1"/>
    </xf>
    <xf numFmtId="0" fontId="0" fillId="0" borderId="2" xfId="0" applyFill="1" applyBorder="1" applyAlignment="1"/>
    <xf numFmtId="0" fontId="19" fillId="0" borderId="2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justify" wrapText="1"/>
    </xf>
    <xf numFmtId="0" fontId="10" fillId="0" borderId="19" xfId="0" applyFont="1" applyFill="1" applyBorder="1" applyAlignment="1">
      <alignment horizontal="justify" wrapText="1"/>
    </xf>
    <xf numFmtId="0" fontId="0" fillId="0" borderId="10" xfId="0" applyFill="1" applyBorder="1" applyAlignment="1"/>
    <xf numFmtId="0" fontId="0" fillId="0" borderId="13" xfId="0" applyFill="1" applyBorder="1" applyAlignment="1"/>
    <xf numFmtId="0" fontId="9" fillId="0" borderId="3" xfId="0" applyFont="1" applyFill="1" applyBorder="1" applyAlignment="1">
      <alignment wrapText="1"/>
    </xf>
    <xf numFmtId="0" fontId="10" fillId="0" borderId="10" xfId="0" applyFont="1" applyFill="1" applyBorder="1" applyAlignment="1">
      <alignment horizontal="justify" wrapText="1"/>
    </xf>
    <xf numFmtId="49" fontId="10" fillId="0" borderId="10" xfId="0" applyNumberFormat="1" applyFont="1" applyFill="1" applyBorder="1" applyAlignment="1">
      <alignment horizontal="justify" wrapText="1"/>
    </xf>
    <xf numFmtId="0" fontId="0" fillId="0" borderId="17" xfId="0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justify" wrapText="1"/>
    </xf>
    <xf numFmtId="0" fontId="0" fillId="0" borderId="16" xfId="0" applyFill="1" applyBorder="1" applyAlignment="1"/>
    <xf numFmtId="0" fontId="2" fillId="0" borderId="3" xfId="0" applyFont="1" applyFill="1" applyBorder="1" applyAlignment="1">
      <alignment horizontal="justify" wrapText="1"/>
    </xf>
    <xf numFmtId="0" fontId="9" fillId="0" borderId="16" xfId="0" applyFont="1" applyFill="1" applyBorder="1" applyAlignment="1">
      <alignment horizontal="justify" wrapText="1"/>
    </xf>
    <xf numFmtId="0" fontId="7" fillId="0" borderId="2" xfId="0" applyFont="1" applyFill="1" applyBorder="1" applyAlignment="1">
      <alignment horizontal="justify" vertical="top" wrapText="1"/>
    </xf>
    <xf numFmtId="0" fontId="22" fillId="0" borderId="2" xfId="0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/>
    <xf numFmtId="0" fontId="9" fillId="0" borderId="2" xfId="0" applyFont="1" applyFill="1" applyBorder="1" applyAlignment="1">
      <alignment horizontal="justify" vertical="top" wrapText="1"/>
    </xf>
    <xf numFmtId="0" fontId="14" fillId="0" borderId="3" xfId="0" applyFont="1" applyFill="1" applyBorder="1" applyAlignment="1"/>
    <xf numFmtId="0" fontId="17" fillId="0" borderId="2" xfId="0" applyFont="1" applyFill="1" applyBorder="1" applyAlignment="1">
      <alignment horizontal="justify" vertical="top" wrapText="1"/>
    </xf>
    <xf numFmtId="0" fontId="36" fillId="0" borderId="3" xfId="0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justify" wrapText="1"/>
    </xf>
    <xf numFmtId="0" fontId="9" fillId="0" borderId="1" xfId="0" applyFont="1" applyFill="1" applyBorder="1" applyAlignment="1">
      <alignment horizontal="justify" wrapText="1"/>
    </xf>
    <xf numFmtId="49" fontId="8" fillId="0" borderId="2" xfId="0" applyNumberFormat="1" applyFont="1" applyFill="1" applyBorder="1" applyAlignment="1"/>
    <xf numFmtId="0" fontId="23" fillId="0" borderId="2" xfId="0" applyFont="1" applyFill="1" applyBorder="1" applyAlignment="1">
      <alignment wrapText="1"/>
    </xf>
    <xf numFmtId="0" fontId="31" fillId="0" borderId="16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>
      <alignment horizontal="justify" vertical="top" wrapText="1"/>
    </xf>
    <xf numFmtId="0" fontId="28" fillId="0" borderId="37" xfId="0" applyFont="1" applyFill="1" applyBorder="1" applyAlignment="1">
      <alignment horizontal="justify" vertical="top" wrapText="1"/>
    </xf>
    <xf numFmtId="0" fontId="2" fillId="0" borderId="22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27" xfId="0" applyFont="1" applyFill="1" applyBorder="1" applyAlignment="1" applyProtection="1">
      <alignment vertical="center" wrapText="1"/>
      <protection locked="0"/>
    </xf>
    <xf numFmtId="49" fontId="3" fillId="0" borderId="10" xfId="0" applyNumberFormat="1" applyFont="1" applyFill="1" applyBorder="1" applyAlignment="1"/>
    <xf numFmtId="49" fontId="3" fillId="0" borderId="13" xfId="0" applyNumberFormat="1" applyFont="1" applyFill="1" applyBorder="1" applyAlignment="1"/>
    <xf numFmtId="0" fontId="19" fillId="0" borderId="25" xfId="0" applyFont="1" applyFill="1" applyBorder="1" applyAlignment="1">
      <alignment wrapText="1"/>
    </xf>
    <xf numFmtId="0" fontId="9" fillId="0" borderId="21" xfId="0" applyFont="1" applyFill="1" applyBorder="1" applyAlignment="1">
      <alignment wrapText="1"/>
    </xf>
    <xf numFmtId="49" fontId="3" fillId="0" borderId="19" xfId="0" applyNumberFormat="1" applyFont="1" applyFill="1" applyBorder="1" applyAlignment="1"/>
    <xf numFmtId="0" fontId="19" fillId="0" borderId="20" xfId="0" applyFont="1" applyFill="1" applyBorder="1" applyAlignment="1">
      <alignment wrapText="1"/>
    </xf>
    <xf numFmtId="0" fontId="9" fillId="0" borderId="26" xfId="0" applyFont="1" applyFill="1" applyBorder="1" applyAlignment="1">
      <alignment wrapText="1"/>
    </xf>
    <xf numFmtId="0" fontId="3" fillId="0" borderId="10" xfId="0" applyFont="1" applyFill="1" applyBorder="1" applyAlignment="1"/>
    <xf numFmtId="0" fontId="2" fillId="0" borderId="16" xfId="0" applyFont="1" applyFill="1" applyBorder="1" applyAlignment="1">
      <alignment horizontal="justify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justify" vertical="top" wrapText="1"/>
    </xf>
    <xf numFmtId="0" fontId="3" fillId="0" borderId="13" xfId="0" applyFont="1" applyFill="1" applyBorder="1" applyAlignment="1"/>
    <xf numFmtId="0" fontId="3" fillId="0" borderId="2" xfId="0" applyFont="1" applyFill="1" applyBorder="1" applyAlignment="1"/>
    <xf numFmtId="0" fontId="3" fillId="0" borderId="16" xfId="0" applyFont="1" applyFill="1" applyBorder="1" applyAlignment="1"/>
    <xf numFmtId="0" fontId="3" fillId="0" borderId="1" xfId="0" applyFont="1" applyFill="1" applyBorder="1" applyAlignment="1"/>
    <xf numFmtId="0" fontId="2" fillId="0" borderId="1" xfId="0" applyFont="1" applyFill="1" applyBorder="1" applyAlignment="1">
      <alignment horizontal="justify" wrapText="1"/>
    </xf>
    <xf numFmtId="0" fontId="3" fillId="0" borderId="3" xfId="0" applyFont="1" applyFill="1" applyBorder="1" applyAlignment="1"/>
    <xf numFmtId="0" fontId="3" fillId="0" borderId="0" xfId="0" applyFont="1" applyFill="1" applyAlignment="1"/>
    <xf numFmtId="0" fontId="3" fillId="0" borderId="0" xfId="0" applyFont="1" applyFill="1" applyAlignment="1">
      <alignment horizontal="justify"/>
    </xf>
    <xf numFmtId="0" fontId="22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4" fillId="0" borderId="0" xfId="0" applyFont="1" applyFill="1" applyAlignment="1">
      <alignment horizontal="center"/>
    </xf>
    <xf numFmtId="0" fontId="9" fillId="0" borderId="3" xfId="0" applyFont="1" applyFill="1" applyBorder="1" applyAlignment="1">
      <alignment horizontal="justify" wrapText="1"/>
    </xf>
    <xf numFmtId="0" fontId="11" fillId="0" borderId="0" xfId="0" applyFont="1" applyFill="1" applyBorder="1" applyAlignment="1">
      <alignment horizontal="center" wrapText="1"/>
    </xf>
    <xf numFmtId="0" fontId="0" fillId="0" borderId="2" xfId="0" applyFill="1" applyBorder="1" applyAlignment="1">
      <alignment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/>
    <xf numFmtId="0" fontId="2" fillId="0" borderId="3" xfId="0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7" fillId="0" borderId="3" xfId="0" applyFont="1" applyFill="1" applyBorder="1" applyAlignment="1"/>
    <xf numFmtId="0" fontId="13" fillId="0" borderId="2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0" fontId="2" fillId="0" borderId="16" xfId="0" applyFont="1" applyFill="1" applyBorder="1" applyAlignment="1">
      <alignment wrapText="1"/>
    </xf>
    <xf numFmtId="0" fontId="7" fillId="0" borderId="13" xfId="0" applyFont="1" applyFill="1" applyBorder="1" applyAlignment="1">
      <alignment wrapText="1"/>
    </xf>
    <xf numFmtId="0" fontId="7" fillId="0" borderId="14" xfId="0" applyFont="1" applyFill="1" applyBorder="1" applyAlignment="1">
      <alignment wrapText="1"/>
    </xf>
    <xf numFmtId="0" fontId="2" fillId="0" borderId="14" xfId="0" applyFont="1" applyFill="1" applyBorder="1" applyAlignment="1"/>
    <xf numFmtId="0" fontId="2" fillId="0" borderId="15" xfId="0" applyFont="1" applyFill="1" applyBorder="1" applyAlignment="1"/>
    <xf numFmtId="0" fontId="14" fillId="0" borderId="13" xfId="0" applyFont="1" applyFill="1" applyBorder="1" applyAlignment="1">
      <alignment wrapText="1"/>
    </xf>
    <xf numFmtId="0" fontId="14" fillId="0" borderId="14" xfId="0" applyFont="1" applyFill="1" applyBorder="1" applyAlignment="1">
      <alignment wrapText="1"/>
    </xf>
    <xf numFmtId="0" fontId="0" fillId="0" borderId="11" xfId="0" applyFill="1" applyBorder="1" applyAlignment="1">
      <alignment horizontal="justify" vertical="top" wrapText="1"/>
    </xf>
    <xf numFmtId="0" fontId="0" fillId="0" borderId="12" xfId="0" applyFill="1" applyBorder="1" applyAlignment="1">
      <alignment horizontal="justify" vertical="top" wrapText="1"/>
    </xf>
    <xf numFmtId="0" fontId="2" fillId="0" borderId="34" xfId="0" applyFont="1" applyFill="1" applyBorder="1" applyAlignment="1">
      <alignment horizontal="justify" wrapText="1"/>
    </xf>
    <xf numFmtId="0" fontId="9" fillId="0" borderId="35" xfId="0" applyFont="1" applyFill="1" applyBorder="1" applyAlignment="1">
      <alignment horizontal="justify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/>
    <xf numFmtId="0" fontId="7" fillId="0" borderId="32" xfId="0" applyFont="1" applyFill="1" applyBorder="1" applyAlignment="1">
      <alignment horizontal="justify" wrapText="1"/>
    </xf>
    <xf numFmtId="0" fontId="9" fillId="0" borderId="11" xfId="0" applyFont="1" applyFill="1" applyBorder="1" applyAlignment="1">
      <alignment horizontal="justify" wrapText="1"/>
    </xf>
    <xf numFmtId="0" fontId="9" fillId="0" borderId="40" xfId="0" applyFont="1" applyFill="1" applyBorder="1" applyAlignment="1">
      <alignment horizontal="justify" wrapText="1"/>
    </xf>
    <xf numFmtId="0" fontId="3" fillId="0" borderId="41" xfId="0" applyFont="1" applyFill="1" applyBorder="1" applyAlignment="1">
      <alignment horizontal="justify" vertical="top" wrapText="1"/>
    </xf>
    <xf numFmtId="0" fontId="1" fillId="0" borderId="11" xfId="0" applyFont="1" applyFill="1" applyBorder="1" applyAlignment="1">
      <alignment horizontal="justify" vertical="top" wrapText="1"/>
    </xf>
    <xf numFmtId="0" fontId="1" fillId="0" borderId="40" xfId="0" applyFont="1" applyFill="1" applyBorder="1" applyAlignment="1">
      <alignment horizontal="justify" vertical="top" wrapText="1"/>
    </xf>
    <xf numFmtId="0" fontId="7" fillId="0" borderId="16" xfId="0" applyFont="1" applyFill="1" applyBorder="1" applyAlignment="1">
      <alignment horizontal="justify" vertical="top" wrapText="1"/>
    </xf>
    <xf numFmtId="0" fontId="0" fillId="0" borderId="16" xfId="0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23" fillId="0" borderId="3" xfId="0" applyFont="1" applyFill="1" applyBorder="1" applyAlignment="1">
      <alignment wrapText="1"/>
    </xf>
    <xf numFmtId="0" fontId="7" fillId="0" borderId="42" xfId="0" applyFont="1" applyFill="1" applyBorder="1" applyAlignment="1">
      <alignment horizontal="left" wrapText="1"/>
    </xf>
    <xf numFmtId="0" fontId="0" fillId="0" borderId="14" xfId="0" applyFill="1" applyBorder="1" applyAlignment="1">
      <alignment horizontal="left" wrapText="1"/>
    </xf>
    <xf numFmtId="0" fontId="0" fillId="0" borderId="15" xfId="0" applyFill="1" applyBorder="1" applyAlignment="1">
      <alignment horizontal="left" wrapText="1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7" fillId="0" borderId="36" xfId="0" applyFont="1" applyFill="1" applyBorder="1" applyAlignment="1">
      <alignment horizontal="justify" vertical="top" wrapText="1"/>
    </xf>
    <xf numFmtId="0" fontId="9" fillId="0" borderId="37" xfId="0" applyFont="1" applyFill="1" applyBorder="1" applyAlignment="1">
      <alignment horizontal="justify" vertical="top" wrapText="1"/>
    </xf>
    <xf numFmtId="0" fontId="7" fillId="0" borderId="32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49" fontId="3" fillId="0" borderId="2" xfId="0" applyNumberFormat="1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/>
    <xf numFmtId="49" fontId="1" fillId="0" borderId="3" xfId="0" applyNumberFormat="1" applyFont="1" applyFill="1" applyBorder="1" applyAlignment="1"/>
    <xf numFmtId="0" fontId="19" fillId="0" borderId="2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wrapText="1"/>
    </xf>
    <xf numFmtId="0" fontId="19" fillId="0" borderId="3" xfId="0" applyFont="1" applyFill="1" applyBorder="1" applyAlignment="1">
      <alignment horizontal="left" wrapText="1"/>
    </xf>
    <xf numFmtId="0" fontId="19" fillId="0" borderId="16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center" wrapText="1"/>
    </xf>
    <xf numFmtId="49" fontId="3" fillId="0" borderId="16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25" fillId="0" borderId="19" xfId="0" applyFont="1" applyFill="1" applyBorder="1" applyAlignment="1">
      <alignment horizontal="left" vertical="top" wrapText="1"/>
    </xf>
    <xf numFmtId="0" fontId="25" fillId="0" borderId="28" xfId="0" applyFont="1" applyFill="1" applyBorder="1" applyAlignment="1">
      <alignment horizontal="left" vertical="top" wrapText="1"/>
    </xf>
    <xf numFmtId="0" fontId="25" fillId="0" borderId="29" xfId="0" applyFont="1" applyFill="1" applyBorder="1" applyAlignment="1">
      <alignment horizontal="left" vertical="top" wrapText="1"/>
    </xf>
    <xf numFmtId="0" fontId="7" fillId="0" borderId="33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28" xfId="0" applyFont="1" applyFill="1" applyBorder="1" applyAlignment="1">
      <alignment wrapText="1"/>
    </xf>
    <xf numFmtId="0" fontId="9" fillId="0" borderId="29" xfId="0" applyFont="1" applyFill="1" applyBorder="1" applyAlignment="1">
      <alignment wrapText="1"/>
    </xf>
    <xf numFmtId="0" fontId="3" fillId="0" borderId="10" xfId="0" applyFont="1" applyFill="1" applyBorder="1" applyAlignment="1">
      <alignment horizontal="justify" wrapText="1"/>
    </xf>
    <xf numFmtId="0" fontId="1" fillId="0" borderId="10" xfId="0" applyFont="1" applyFill="1" applyBorder="1" applyAlignment="1"/>
    <xf numFmtId="0" fontId="36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justify" vertical="top" wrapText="1"/>
    </xf>
    <xf numFmtId="0" fontId="3" fillId="0" borderId="48" xfId="0" applyFont="1" applyFill="1" applyBorder="1" applyAlignment="1"/>
    <xf numFmtId="0" fontId="3" fillId="0" borderId="57" xfId="0" applyFont="1" applyFill="1" applyBorder="1" applyAlignment="1"/>
    <xf numFmtId="0" fontId="3" fillId="0" borderId="58" xfId="0" applyFont="1" applyFill="1" applyBorder="1" applyAlignment="1"/>
    <xf numFmtId="0" fontId="3" fillId="0" borderId="49" xfId="0" applyFont="1" applyFill="1" applyBorder="1" applyAlignment="1"/>
    <xf numFmtId="0" fontId="7" fillId="0" borderId="19" xfId="0" applyFont="1" applyFill="1" applyBorder="1" applyAlignment="1">
      <alignment horizontal="justify" wrapText="1"/>
    </xf>
    <xf numFmtId="0" fontId="0" fillId="0" borderId="28" xfId="0" applyFill="1" applyBorder="1" applyAlignment="1">
      <alignment horizontal="justify" wrapText="1"/>
    </xf>
    <xf numFmtId="0" fontId="0" fillId="0" borderId="29" xfId="0" applyFill="1" applyBorder="1" applyAlignment="1">
      <alignment horizontal="justify" wrapText="1"/>
    </xf>
    <xf numFmtId="0" fontId="7" fillId="0" borderId="10" xfId="0" applyFont="1" applyFill="1" applyBorder="1" applyAlignment="1">
      <alignment horizontal="justify" vertical="top" wrapText="1"/>
    </xf>
    <xf numFmtId="0" fontId="0" fillId="0" borderId="23" xfId="0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24" fillId="0" borderId="31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47" xfId="0" applyFont="1" applyFill="1" applyBorder="1" applyAlignment="1">
      <alignment horizontal="center" vertical="center" wrapText="1"/>
    </xf>
    <xf numFmtId="0" fontId="24" fillId="0" borderId="3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27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0" fontId="0" fillId="0" borderId="2" xfId="0" applyFill="1" applyBorder="1" applyAlignment="1">
      <alignment horizontal="justify" wrapText="1"/>
    </xf>
    <xf numFmtId="0" fontId="32" fillId="0" borderId="16" xfId="0" applyFont="1" applyFill="1" applyBorder="1" applyAlignment="1">
      <alignment horizontal="center" vertical="top" wrapText="1"/>
    </xf>
    <xf numFmtId="0" fontId="32" fillId="0" borderId="1" xfId="0" applyFont="1" applyFill="1" applyBorder="1" applyAlignment="1">
      <alignment horizontal="center" vertical="top" wrapText="1"/>
    </xf>
    <xf numFmtId="0" fontId="7" fillId="0" borderId="50" xfId="0" applyFont="1" applyFill="1" applyBorder="1" applyAlignment="1">
      <alignment horizontal="justify" wrapText="1"/>
    </xf>
    <xf numFmtId="0" fontId="0" fillId="0" borderId="51" xfId="0" applyFill="1" applyBorder="1" applyAlignment="1">
      <alignment horizontal="justify" wrapText="1"/>
    </xf>
    <xf numFmtId="0" fontId="0" fillId="0" borderId="52" xfId="0" applyFill="1" applyBorder="1" applyAlignment="1">
      <alignment horizontal="justify" wrapText="1"/>
    </xf>
    <xf numFmtId="0" fontId="7" fillId="0" borderId="54" xfId="0" applyFont="1" applyFill="1" applyBorder="1" applyAlignment="1">
      <alignment horizontal="justify" vertical="top" wrapText="1"/>
    </xf>
    <xf numFmtId="0" fontId="0" fillId="0" borderId="55" xfId="0" applyFill="1" applyBorder="1" applyAlignment="1">
      <alignment horizontal="justify" vertical="top" wrapText="1"/>
    </xf>
    <xf numFmtId="0" fontId="0" fillId="0" borderId="56" xfId="0" applyFill="1" applyBorder="1" applyAlignment="1">
      <alignment horizontal="justify" vertical="top" wrapText="1"/>
    </xf>
    <xf numFmtId="0" fontId="25" fillId="0" borderId="2" xfId="0" applyFont="1" applyFill="1" applyBorder="1" applyAlignment="1">
      <alignment vertical="top" wrapText="1"/>
    </xf>
    <xf numFmtId="0" fontId="27" fillId="0" borderId="2" xfId="0" applyFont="1" applyFill="1" applyBorder="1" applyAlignment="1">
      <alignment vertical="top" wrapText="1"/>
    </xf>
    <xf numFmtId="0" fontId="25" fillId="0" borderId="1" xfId="0" applyFont="1" applyFill="1" applyBorder="1" applyAlignment="1">
      <alignment vertical="top" wrapText="1"/>
    </xf>
    <xf numFmtId="0" fontId="27" fillId="0" borderId="1" xfId="0" applyFont="1" applyFill="1" applyBorder="1" applyAlignment="1">
      <alignment vertical="top" wrapText="1"/>
    </xf>
    <xf numFmtId="0" fontId="7" fillId="0" borderId="32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left" wrapText="1"/>
    </xf>
    <xf numFmtId="0" fontId="9" fillId="0" borderId="40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vertical="top" wrapText="1"/>
    </xf>
    <xf numFmtId="0" fontId="0" fillId="0" borderId="3" xfId="0" applyFill="1" applyBorder="1" applyAlignment="1">
      <alignment wrapText="1"/>
    </xf>
    <xf numFmtId="0" fontId="7" fillId="0" borderId="36" xfId="0" applyFont="1" applyFill="1" applyBorder="1" applyAlignment="1">
      <alignment wrapText="1"/>
    </xf>
    <xf numFmtId="0" fontId="9" fillId="0" borderId="37" xfId="0" applyFont="1" applyFill="1" applyBorder="1" applyAlignment="1">
      <alignment wrapText="1"/>
    </xf>
    <xf numFmtId="0" fontId="9" fillId="0" borderId="38" xfId="0" applyFont="1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2" fillId="0" borderId="31" xfId="0" applyFont="1" applyFill="1" applyBorder="1" applyAlignment="1">
      <alignment wrapText="1"/>
    </xf>
    <xf numFmtId="0" fontId="9" fillId="0" borderId="24" xfId="0" applyFont="1" applyFill="1" applyBorder="1" applyAlignment="1">
      <alignment wrapText="1"/>
    </xf>
    <xf numFmtId="49" fontId="10" fillId="0" borderId="3" xfId="0" applyNumberFormat="1" applyFont="1" applyFill="1" applyBorder="1" applyAlignment="1">
      <alignment horizontal="justify" wrapText="1"/>
    </xf>
    <xf numFmtId="49" fontId="0" fillId="0" borderId="16" xfId="0" applyNumberFormat="1" applyFill="1" applyBorder="1" applyAlignment="1"/>
    <xf numFmtId="49" fontId="0" fillId="0" borderId="1" xfId="0" applyNumberFormat="1" applyFill="1" applyBorder="1" applyAlignment="1"/>
    <xf numFmtId="0" fontId="2" fillId="0" borderId="2" xfId="0" applyFont="1" applyFill="1" applyBorder="1" applyAlignment="1">
      <alignment vertical="top" wrapText="1"/>
    </xf>
    <xf numFmtId="0" fontId="7" fillId="0" borderId="31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9" fillId="0" borderId="8" xfId="0" applyFont="1" applyFill="1" applyBorder="1" applyAlignment="1">
      <alignment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14" fillId="0" borderId="2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horizontal="justify" wrapText="1"/>
    </xf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14" fillId="0" borderId="32" xfId="0" applyFont="1" applyFill="1" applyBorder="1" applyAlignment="1">
      <alignment horizontal="left" wrapText="1"/>
    </xf>
    <xf numFmtId="0" fontId="14" fillId="0" borderId="11" xfId="0" applyFont="1" applyFill="1" applyBorder="1" applyAlignment="1">
      <alignment horizontal="left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7" fillId="0" borderId="36" xfId="0" applyFont="1" applyFill="1" applyBorder="1" applyAlignment="1">
      <alignment horizontal="justify" wrapText="1"/>
    </xf>
    <xf numFmtId="0" fontId="9" fillId="0" borderId="37" xfId="0" applyFont="1" applyFill="1" applyBorder="1" applyAlignment="1">
      <alignment horizontal="justify" wrapText="1"/>
    </xf>
    <xf numFmtId="0" fontId="9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justify" vertical="center" wrapText="1"/>
    </xf>
    <xf numFmtId="0" fontId="0" fillId="0" borderId="16" xfId="0" applyFill="1" applyBorder="1" applyAlignment="1">
      <alignment horizontal="justify" vertical="center" wrapText="1"/>
    </xf>
    <xf numFmtId="0" fontId="0" fillId="0" borderId="1" xfId="0" applyFill="1" applyBorder="1" applyAlignment="1">
      <alignment horizontal="justify" vertical="center" wrapText="1"/>
    </xf>
    <xf numFmtId="0" fontId="19" fillId="0" borderId="21" xfId="0" applyFont="1" applyFill="1" applyBorder="1" applyAlignment="1">
      <alignment wrapText="1"/>
    </xf>
    <xf numFmtId="0" fontId="3" fillId="0" borderId="18" xfId="0" applyFont="1" applyFill="1" applyBorder="1" applyAlignment="1">
      <alignment horizontal="justify" wrapText="1"/>
    </xf>
    <xf numFmtId="0" fontId="8" fillId="0" borderId="3" xfId="0" applyFont="1" applyFill="1" applyBorder="1" applyAlignment="1">
      <alignment horizontal="center" wrapText="1"/>
    </xf>
    <xf numFmtId="0" fontId="8" fillId="0" borderId="16" xfId="0" applyFont="1" applyFill="1" applyBorder="1" applyAlignment="1">
      <alignment horizontal="center" wrapText="1"/>
    </xf>
    <xf numFmtId="164" fontId="7" fillId="0" borderId="3" xfId="0" applyNumberFormat="1" applyFont="1" applyFill="1" applyBorder="1" applyAlignment="1">
      <alignment horizontal="right" wrapText="1"/>
    </xf>
    <xf numFmtId="0" fontId="7" fillId="0" borderId="16" xfId="0" applyFont="1" applyFill="1" applyBorder="1" applyAlignment="1">
      <alignment horizontal="right" wrapText="1"/>
    </xf>
    <xf numFmtId="0" fontId="9" fillId="0" borderId="13" xfId="0" applyFont="1" applyFill="1" applyBorder="1" applyAlignment="1">
      <alignment horizontal="justify" vertical="top" wrapText="1"/>
    </xf>
    <xf numFmtId="0" fontId="9" fillId="0" borderId="22" xfId="0" applyFont="1" applyFill="1" applyBorder="1" applyAlignment="1">
      <alignment horizontal="justify" vertical="top" wrapText="1"/>
    </xf>
    <xf numFmtId="49" fontId="3" fillId="0" borderId="3" xfId="0" applyNumberFormat="1" applyFont="1" applyFill="1" applyBorder="1" applyAlignment="1"/>
    <xf numFmtId="49" fontId="3" fillId="0" borderId="2" xfId="0" applyNumberFormat="1" applyFont="1" applyFill="1" applyBorder="1" applyAlignment="1">
      <alignment horizontal="justify" wrapText="1"/>
    </xf>
    <xf numFmtId="49" fontId="22" fillId="0" borderId="2" xfId="0" applyNumberFormat="1" applyFont="1" applyFill="1" applyBorder="1" applyAlignment="1"/>
    <xf numFmtId="0" fontId="14" fillId="0" borderId="3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justify" wrapText="1"/>
    </xf>
    <xf numFmtId="49" fontId="22" fillId="0" borderId="16" xfId="0" applyNumberFormat="1" applyFont="1" applyFill="1" applyBorder="1" applyAlignment="1"/>
    <xf numFmtId="0" fontId="7" fillId="0" borderId="2" xfId="0" applyFont="1" applyFill="1" applyBorder="1" applyAlignment="1">
      <alignment horizontal="left" vertical="top" wrapText="1"/>
    </xf>
    <xf numFmtId="164" fontId="7" fillId="0" borderId="13" xfId="0" applyNumberFormat="1" applyFont="1" applyFill="1" applyBorder="1" applyAlignment="1">
      <alignment horizontal="right" vertical="top" wrapText="1"/>
    </xf>
    <xf numFmtId="0" fontId="7" fillId="0" borderId="22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  <color rgb="FFFFFF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16"/>
  <sheetViews>
    <sheetView tabSelected="1" view="pageBreakPreview" topLeftCell="A360" zoomScaleNormal="100" zoomScaleSheetLayoutView="100" workbookViewId="0">
      <selection activeCell="F427" sqref="F427"/>
    </sheetView>
  </sheetViews>
  <sheetFormatPr defaultRowHeight="12.75" x14ac:dyDescent="0.2"/>
  <cols>
    <col min="1" max="1" width="6.28515625" style="4" customWidth="1"/>
    <col min="2" max="2" width="28" style="4" customWidth="1"/>
    <col min="3" max="3" width="11.140625" style="4" customWidth="1"/>
    <col min="4" max="4" width="15" style="4" customWidth="1"/>
    <col min="5" max="5" width="9.85546875" style="4" customWidth="1"/>
    <col min="6" max="6" width="13.42578125" style="4" customWidth="1"/>
    <col min="7" max="7" width="11.140625" style="4" customWidth="1"/>
    <col min="8" max="8" width="13.140625" style="4" customWidth="1"/>
    <col min="9" max="9" width="13" style="4" customWidth="1"/>
    <col min="10" max="10" width="14.42578125" style="4" customWidth="1"/>
    <col min="11" max="11" width="29.7109375" style="4" customWidth="1"/>
    <col min="12" max="12" width="12" style="4" customWidth="1"/>
    <col min="13" max="13" width="10.7109375" style="4" bestFit="1" customWidth="1"/>
    <col min="14" max="14" width="11.42578125" style="4" customWidth="1"/>
    <col min="15" max="15" width="12.5703125" style="4" customWidth="1"/>
    <col min="16" max="16" width="10.140625" style="4" bestFit="1" customWidth="1"/>
    <col min="17" max="17" width="10.5703125" style="4" customWidth="1"/>
    <col min="18" max="18" width="10" style="4" bestFit="1" customWidth="1"/>
    <col min="19" max="16384" width="9.140625" style="4"/>
  </cols>
  <sheetData>
    <row r="1" spans="1:26" ht="19.5" customHeight="1" x14ac:dyDescent="0.2">
      <c r="H1" s="356" t="s">
        <v>226</v>
      </c>
      <c r="I1" s="356"/>
      <c r="J1" s="356"/>
      <c r="K1" s="356"/>
    </row>
    <row r="2" spans="1:26" ht="24" customHeight="1" x14ac:dyDescent="0.2">
      <c r="H2" s="357" t="s">
        <v>418</v>
      </c>
      <c r="I2" s="358"/>
      <c r="J2" s="358"/>
      <c r="K2" s="358"/>
    </row>
    <row r="3" spans="1:26" ht="15.75" customHeight="1" x14ac:dyDescent="0.2">
      <c r="C3" s="220"/>
      <c r="F3" s="220"/>
      <c r="G3" s="220"/>
      <c r="H3" s="220"/>
    </row>
    <row r="4" spans="1:26" ht="15.75" x14ac:dyDescent="0.25">
      <c r="C4" s="23"/>
    </row>
    <row r="5" spans="1:26" ht="12.75" customHeight="1" x14ac:dyDescent="0.25">
      <c r="A5" s="363" t="s">
        <v>114</v>
      </c>
      <c r="B5" s="363"/>
      <c r="C5" s="363"/>
      <c r="D5" s="363"/>
      <c r="E5" s="363"/>
      <c r="F5" s="363"/>
      <c r="G5" s="363"/>
      <c r="H5" s="363"/>
      <c r="I5" s="363"/>
      <c r="J5" s="363"/>
      <c r="K5" s="363"/>
    </row>
    <row r="6" spans="1:26" ht="12.75" customHeight="1" x14ac:dyDescent="0.25">
      <c r="A6" s="363" t="s">
        <v>115</v>
      </c>
      <c r="B6" s="363"/>
      <c r="C6" s="363"/>
      <c r="D6" s="363"/>
      <c r="E6" s="363"/>
      <c r="F6" s="363"/>
      <c r="G6" s="363"/>
      <c r="H6" s="363"/>
      <c r="I6" s="363"/>
      <c r="J6" s="363"/>
      <c r="K6" s="363"/>
    </row>
    <row r="7" spans="1:26" ht="12.75" customHeight="1" x14ac:dyDescent="0.25">
      <c r="A7" s="363" t="s">
        <v>417</v>
      </c>
      <c r="B7" s="363"/>
      <c r="C7" s="363"/>
      <c r="D7" s="363"/>
      <c r="E7" s="363"/>
      <c r="F7" s="363"/>
      <c r="G7" s="363"/>
      <c r="H7" s="363"/>
      <c r="I7" s="363"/>
      <c r="J7" s="363"/>
      <c r="K7" s="363"/>
    </row>
    <row r="10" spans="1:26" ht="18" customHeight="1" x14ac:dyDescent="0.25">
      <c r="A10" s="359" t="s">
        <v>2</v>
      </c>
      <c r="B10" s="359" t="s">
        <v>3</v>
      </c>
      <c r="C10" s="359" t="s">
        <v>4</v>
      </c>
      <c r="D10" s="359" t="s">
        <v>5</v>
      </c>
      <c r="E10" s="359" t="s">
        <v>6</v>
      </c>
      <c r="F10" s="359" t="s">
        <v>7</v>
      </c>
      <c r="G10" s="359"/>
      <c r="H10" s="359"/>
      <c r="I10" s="359"/>
      <c r="J10" s="359"/>
      <c r="K10" s="359" t="s">
        <v>8</v>
      </c>
    </row>
    <row r="11" spans="1:26" ht="45" x14ac:dyDescent="0.25">
      <c r="A11" s="359"/>
      <c r="B11" s="359"/>
      <c r="C11" s="359"/>
      <c r="D11" s="359"/>
      <c r="E11" s="359"/>
      <c r="F11" s="221" t="s">
        <v>9</v>
      </c>
      <c r="G11" s="221" t="s">
        <v>10</v>
      </c>
      <c r="H11" s="221" t="s">
        <v>11</v>
      </c>
      <c r="I11" s="221" t="s">
        <v>12</v>
      </c>
      <c r="J11" s="221" t="s">
        <v>13</v>
      </c>
      <c r="K11" s="359"/>
    </row>
    <row r="12" spans="1:26" x14ac:dyDescent="0.2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26" ht="23.25" customHeight="1" x14ac:dyDescent="0.35">
      <c r="A13" s="361" t="s">
        <v>14</v>
      </c>
      <c r="B13" s="362"/>
      <c r="C13" s="362"/>
      <c r="D13" s="362"/>
      <c r="E13" s="362"/>
      <c r="F13" s="362"/>
      <c r="G13" s="362"/>
      <c r="H13" s="362"/>
      <c r="I13" s="362"/>
      <c r="J13" s="362"/>
      <c r="K13" s="362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15.75" x14ac:dyDescent="0.25">
      <c r="A14" s="360" t="s">
        <v>15</v>
      </c>
      <c r="B14" s="360"/>
      <c r="C14" s="360"/>
      <c r="D14" s="360"/>
      <c r="E14" s="360"/>
      <c r="F14" s="360"/>
      <c r="G14" s="360"/>
      <c r="H14" s="360"/>
      <c r="I14" s="360"/>
      <c r="J14" s="360"/>
      <c r="K14" s="360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6" ht="32.25" customHeight="1" x14ac:dyDescent="0.2">
      <c r="A15" s="317" t="s">
        <v>218</v>
      </c>
      <c r="B15" s="287"/>
      <c r="C15" s="287"/>
      <c r="D15" s="320"/>
      <c r="E15" s="320"/>
      <c r="F15" s="320"/>
      <c r="G15" s="320"/>
      <c r="H15" s="320"/>
      <c r="I15" s="320"/>
      <c r="J15" s="320"/>
      <c r="K15" s="320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</row>
    <row r="16" spans="1:26" ht="15" x14ac:dyDescent="0.25">
      <c r="A16" s="344" t="s">
        <v>16</v>
      </c>
      <c r="B16" s="288" t="s">
        <v>17</v>
      </c>
      <c r="C16" s="237">
        <v>2015</v>
      </c>
      <c r="D16" s="346" t="s">
        <v>390</v>
      </c>
      <c r="E16" s="222">
        <v>2015</v>
      </c>
      <c r="F16" s="7">
        <f>SUM(G16:J16)</f>
        <v>123364</v>
      </c>
      <c r="G16" s="7"/>
      <c r="H16" s="7">
        <f>84472.3+21385+13129.2</f>
        <v>118986.5</v>
      </c>
      <c r="I16" s="7">
        <f>4727.6-3108.6+2758.5</f>
        <v>4377.5</v>
      </c>
      <c r="J16" s="7"/>
      <c r="K16" s="239" t="s">
        <v>112</v>
      </c>
    </row>
    <row r="17" spans="1:26" ht="75.75" customHeight="1" x14ac:dyDescent="0.2">
      <c r="A17" s="344"/>
      <c r="B17" s="364"/>
      <c r="C17" s="238"/>
      <c r="D17" s="348"/>
      <c r="E17" s="18" t="s">
        <v>18</v>
      </c>
      <c r="F17" s="8">
        <f>SUM(F16:F16)</f>
        <v>123364</v>
      </c>
      <c r="G17" s="8">
        <f>SUM(G16:G16)</f>
        <v>0</v>
      </c>
      <c r="H17" s="8">
        <f>SUM(H16:H16)</f>
        <v>118986.5</v>
      </c>
      <c r="I17" s="8">
        <f>SUM(I16:I16)</f>
        <v>4377.5</v>
      </c>
      <c r="J17" s="8"/>
      <c r="K17" s="241"/>
    </row>
    <row r="18" spans="1:26" ht="15" x14ac:dyDescent="0.25">
      <c r="A18" s="344" t="s">
        <v>19</v>
      </c>
      <c r="B18" s="288" t="s">
        <v>124</v>
      </c>
      <c r="C18" s="237">
        <v>2015</v>
      </c>
      <c r="D18" s="346" t="s">
        <v>390</v>
      </c>
      <c r="E18" s="222">
        <v>2015</v>
      </c>
      <c r="F18" s="7">
        <f>SUM(G18:I18)</f>
        <v>5858.9</v>
      </c>
      <c r="G18" s="7"/>
      <c r="H18" s="7">
        <f>104685.7-104685.7</f>
        <v>0</v>
      </c>
      <c r="I18" s="7">
        <v>5858.9</v>
      </c>
      <c r="J18" s="7"/>
      <c r="K18" s="239" t="s">
        <v>113</v>
      </c>
    </row>
    <row r="19" spans="1:26" ht="76.5" customHeight="1" x14ac:dyDescent="0.25">
      <c r="A19" s="350"/>
      <c r="B19" s="364"/>
      <c r="C19" s="238"/>
      <c r="D19" s="348"/>
      <c r="E19" s="26" t="s">
        <v>18</v>
      </c>
      <c r="F19" s="9">
        <f>SUM(F18:F18)</f>
        <v>5858.9</v>
      </c>
      <c r="G19" s="10">
        <f>SUM(G18:G18)</f>
        <v>0</v>
      </c>
      <c r="H19" s="10">
        <f>SUM(H18:H18)</f>
        <v>0</v>
      </c>
      <c r="I19" s="10">
        <f>SUM(I18:I18)</f>
        <v>5858.9</v>
      </c>
      <c r="J19" s="10"/>
      <c r="K19" s="241"/>
    </row>
    <row r="20" spans="1:26" ht="14.25" x14ac:dyDescent="0.2">
      <c r="A20" s="293" t="s">
        <v>20</v>
      </c>
      <c r="B20" s="366"/>
      <c r="C20" s="366"/>
      <c r="D20" s="366"/>
      <c r="E20" s="209"/>
      <c r="F20" s="11">
        <f>F17+F19</f>
        <v>129222.9</v>
      </c>
      <c r="G20" s="11">
        <f>G17+G19</f>
        <v>0</v>
      </c>
      <c r="H20" s="11">
        <f>H17+H19</f>
        <v>118986.5</v>
      </c>
      <c r="I20" s="11">
        <f>I17+I19</f>
        <v>10236.4</v>
      </c>
      <c r="J20" s="11">
        <f>J17+J19</f>
        <v>0</v>
      </c>
      <c r="K20" s="209"/>
      <c r="L20" s="365"/>
      <c r="M20" s="365"/>
      <c r="N20" s="365"/>
      <c r="O20" s="365"/>
      <c r="P20" s="365"/>
      <c r="Q20" s="365"/>
      <c r="R20" s="365"/>
      <c r="S20" s="365"/>
      <c r="T20" s="365"/>
      <c r="U20" s="365"/>
      <c r="V20" s="365"/>
      <c r="W20" s="365"/>
      <c r="X20" s="365"/>
      <c r="Y20" s="365"/>
      <c r="Z20" s="365"/>
    </row>
    <row r="21" spans="1:26" ht="14.25" x14ac:dyDescent="0.2">
      <c r="A21" s="317" t="s">
        <v>219</v>
      </c>
      <c r="B21" s="320"/>
      <c r="C21" s="320"/>
      <c r="D21" s="320"/>
      <c r="E21" s="320"/>
      <c r="F21" s="320"/>
      <c r="G21" s="320"/>
      <c r="H21" s="320"/>
      <c r="I21" s="320"/>
      <c r="J21" s="320"/>
      <c r="K21" s="320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</row>
    <row r="22" spans="1:26" ht="12.75" customHeight="1" x14ac:dyDescent="0.2">
      <c r="A22" s="319" t="s">
        <v>60</v>
      </c>
      <c r="B22" s="288" t="s">
        <v>117</v>
      </c>
      <c r="C22" s="237" t="s">
        <v>123</v>
      </c>
      <c r="D22" s="283" t="s">
        <v>207</v>
      </c>
      <c r="E22" s="222">
        <v>2015</v>
      </c>
      <c r="F22" s="2"/>
      <c r="G22" s="2"/>
      <c r="H22" s="2"/>
      <c r="I22" s="2"/>
      <c r="J22" s="2"/>
      <c r="K22" s="367" t="s">
        <v>111</v>
      </c>
    </row>
    <row r="23" spans="1:26" x14ac:dyDescent="0.2">
      <c r="A23" s="319"/>
      <c r="B23" s="294"/>
      <c r="C23" s="238"/>
      <c r="D23" s="283"/>
      <c r="E23" s="222">
        <v>2016</v>
      </c>
      <c r="F23" s="2"/>
      <c r="G23" s="2"/>
      <c r="H23" s="2"/>
      <c r="I23" s="2"/>
      <c r="J23" s="2"/>
      <c r="K23" s="367"/>
    </row>
    <row r="24" spans="1:26" x14ac:dyDescent="0.2">
      <c r="A24" s="319"/>
      <c r="B24" s="294"/>
      <c r="C24" s="238"/>
      <c r="D24" s="283"/>
      <c r="E24" s="222">
        <v>2017</v>
      </c>
      <c r="F24" s="2"/>
      <c r="G24" s="2"/>
      <c r="H24" s="2"/>
      <c r="I24" s="2"/>
      <c r="J24" s="2"/>
      <c r="K24" s="367"/>
      <c r="L24" s="99"/>
    </row>
    <row r="25" spans="1:26" x14ac:dyDescent="0.2">
      <c r="A25" s="319"/>
      <c r="B25" s="294"/>
      <c r="C25" s="238"/>
      <c r="D25" s="283"/>
      <c r="E25" s="222">
        <v>2018</v>
      </c>
      <c r="F25" s="2"/>
      <c r="G25" s="2"/>
      <c r="H25" s="2"/>
      <c r="I25" s="2"/>
      <c r="J25" s="2"/>
      <c r="K25" s="367"/>
    </row>
    <row r="26" spans="1:26" x14ac:dyDescent="0.2">
      <c r="A26" s="319"/>
      <c r="B26" s="294"/>
      <c r="C26" s="238"/>
      <c r="D26" s="283"/>
      <c r="E26" s="222">
        <v>2019</v>
      </c>
      <c r="F26" s="2"/>
      <c r="G26" s="2"/>
      <c r="H26" s="2"/>
      <c r="I26" s="2"/>
      <c r="J26" s="2"/>
      <c r="K26" s="367"/>
    </row>
    <row r="27" spans="1:26" x14ac:dyDescent="0.2">
      <c r="A27" s="319"/>
      <c r="B27" s="294"/>
      <c r="C27" s="238"/>
      <c r="D27" s="283"/>
      <c r="E27" s="222">
        <v>2020</v>
      </c>
      <c r="F27" s="2"/>
      <c r="G27" s="2"/>
      <c r="H27" s="2"/>
      <c r="I27" s="2"/>
      <c r="J27" s="2"/>
      <c r="K27" s="367"/>
    </row>
    <row r="28" spans="1:26" ht="60" customHeight="1" x14ac:dyDescent="0.2">
      <c r="A28" s="319"/>
      <c r="B28" s="294"/>
      <c r="C28" s="238"/>
      <c r="D28" s="283"/>
      <c r="E28" s="18" t="s">
        <v>18</v>
      </c>
      <c r="F28" s="2"/>
      <c r="G28" s="2"/>
      <c r="H28" s="2"/>
      <c r="I28" s="2"/>
      <c r="J28" s="2"/>
      <c r="K28" s="367"/>
    </row>
    <row r="29" spans="1:26" ht="12.75" customHeight="1" x14ac:dyDescent="0.25">
      <c r="A29" s="319" t="s">
        <v>228</v>
      </c>
      <c r="B29" s="288" t="s">
        <v>118</v>
      </c>
      <c r="C29" s="237" t="s">
        <v>398</v>
      </c>
      <c r="D29" s="283" t="s">
        <v>386</v>
      </c>
      <c r="E29" s="222">
        <v>2015</v>
      </c>
      <c r="F29" s="7">
        <f>H29+I29</f>
        <v>505</v>
      </c>
      <c r="G29" s="7"/>
      <c r="H29" s="7">
        <v>500</v>
      </c>
      <c r="I29" s="7">
        <v>5</v>
      </c>
      <c r="J29" s="14"/>
      <c r="K29" s="367"/>
    </row>
    <row r="30" spans="1:26" x14ac:dyDescent="0.2">
      <c r="A30" s="319"/>
      <c r="B30" s="305"/>
      <c r="C30" s="238"/>
      <c r="D30" s="283"/>
      <c r="E30" s="222">
        <v>2016</v>
      </c>
      <c r="F30" s="14">
        <f t="shared" ref="F30:F35" si="0">SUM(G30:J30)</f>
        <v>0</v>
      </c>
      <c r="G30" s="14"/>
      <c r="H30" s="14">
        <v>0</v>
      </c>
      <c r="I30" s="14">
        <v>0</v>
      </c>
      <c r="J30" s="14"/>
      <c r="K30" s="367"/>
      <c r="L30" s="99"/>
    </row>
    <row r="31" spans="1:26" x14ac:dyDescent="0.2">
      <c r="A31" s="319"/>
      <c r="B31" s="305"/>
      <c r="C31" s="238"/>
      <c r="D31" s="283"/>
      <c r="E31" s="222">
        <v>2017</v>
      </c>
      <c r="F31" s="14">
        <f t="shared" si="0"/>
        <v>0</v>
      </c>
      <c r="G31" s="14"/>
      <c r="H31" s="14">
        <v>0</v>
      </c>
      <c r="I31" s="14">
        <v>0</v>
      </c>
      <c r="J31" s="14"/>
      <c r="K31" s="367"/>
    </row>
    <row r="32" spans="1:26" ht="16.5" customHeight="1" x14ac:dyDescent="0.2">
      <c r="A32" s="319"/>
      <c r="B32" s="305"/>
      <c r="C32" s="238"/>
      <c r="D32" s="283"/>
      <c r="E32" s="222">
        <v>2018</v>
      </c>
      <c r="F32" s="14">
        <f t="shared" si="0"/>
        <v>0</v>
      </c>
      <c r="G32" s="14"/>
      <c r="H32" s="14">
        <f>20165.4-20165.4</f>
        <v>0</v>
      </c>
      <c r="I32" s="14">
        <f>1062-1062</f>
        <v>0</v>
      </c>
      <c r="J32" s="14"/>
      <c r="K32" s="367"/>
      <c r="L32" s="99"/>
    </row>
    <row r="33" spans="1:33" x14ac:dyDescent="0.2">
      <c r="A33" s="319"/>
      <c r="B33" s="305"/>
      <c r="C33" s="238"/>
      <c r="D33" s="283"/>
      <c r="E33" s="222">
        <v>2019</v>
      </c>
      <c r="F33" s="14">
        <f t="shared" si="0"/>
        <v>38207.299999999996</v>
      </c>
      <c r="G33" s="14"/>
      <c r="H33" s="14">
        <f>33314.2+3854.9</f>
        <v>37169.1</v>
      </c>
      <c r="I33" s="14">
        <f>2246.5+425.5+126.1-1759.9</f>
        <v>1038.1999999999998</v>
      </c>
      <c r="J33" s="14"/>
      <c r="K33" s="367"/>
    </row>
    <row r="34" spans="1:33" ht="15" customHeight="1" x14ac:dyDescent="0.2">
      <c r="A34" s="319"/>
      <c r="B34" s="305"/>
      <c r="C34" s="238"/>
      <c r="D34" s="283"/>
      <c r="E34" s="222">
        <v>2020</v>
      </c>
      <c r="F34" s="14">
        <f t="shared" si="0"/>
        <v>51077.5</v>
      </c>
      <c r="G34" s="14"/>
      <c r="H34" s="14">
        <f>26550.9-7965.3+31981.1</f>
        <v>50566.7</v>
      </c>
      <c r="I34" s="14">
        <f>268.2+242.6</f>
        <v>510.79999999999995</v>
      </c>
      <c r="J34" s="14"/>
      <c r="K34" s="367"/>
    </row>
    <row r="35" spans="1:33" ht="15" customHeight="1" x14ac:dyDescent="0.2">
      <c r="A35" s="319"/>
      <c r="B35" s="305"/>
      <c r="C35" s="238"/>
      <c r="D35" s="283"/>
      <c r="E35" s="222">
        <v>2021</v>
      </c>
      <c r="F35" s="14">
        <f t="shared" si="0"/>
        <v>5065.6000000000013</v>
      </c>
      <c r="G35" s="14"/>
      <c r="H35" s="14">
        <f>28419.8-8525.9-14879</f>
        <v>5014.9000000000015</v>
      </c>
      <c r="I35" s="14">
        <f>287.1-236.4</f>
        <v>50.700000000000017</v>
      </c>
      <c r="J35" s="14"/>
      <c r="K35" s="367"/>
    </row>
    <row r="36" spans="1:33" ht="15" customHeight="1" x14ac:dyDescent="0.2">
      <c r="A36" s="319"/>
      <c r="B36" s="305"/>
      <c r="C36" s="238"/>
      <c r="D36" s="283"/>
      <c r="E36" s="222">
        <v>2022</v>
      </c>
      <c r="F36" s="14">
        <f t="shared" ref="F36" si="1">SUM(G36:J36)</f>
        <v>42596</v>
      </c>
      <c r="G36" s="14"/>
      <c r="H36" s="14">
        <v>42170</v>
      </c>
      <c r="I36" s="14">
        <v>426</v>
      </c>
      <c r="J36" s="14"/>
      <c r="K36" s="367"/>
    </row>
    <row r="37" spans="1:33" ht="57" customHeight="1" x14ac:dyDescent="0.2">
      <c r="A37" s="319"/>
      <c r="B37" s="305"/>
      <c r="C37" s="238"/>
      <c r="D37" s="283"/>
      <c r="E37" s="18" t="s">
        <v>18</v>
      </c>
      <c r="F37" s="8">
        <f>SUM(F29:F36)</f>
        <v>137451.4</v>
      </c>
      <c r="G37" s="8">
        <f>SUM(G29:G34)</f>
        <v>0</v>
      </c>
      <c r="H37" s="8">
        <f>SUM(H29:H36)</f>
        <v>135420.69999999998</v>
      </c>
      <c r="I37" s="8">
        <f>SUM(I29:I36)</f>
        <v>2030.6999999999998</v>
      </c>
      <c r="J37" s="14"/>
      <c r="K37" s="367"/>
    </row>
    <row r="38" spans="1:33" x14ac:dyDescent="0.2">
      <c r="A38" s="319" t="s">
        <v>230</v>
      </c>
      <c r="B38" s="288" t="s">
        <v>244</v>
      </c>
      <c r="C38" s="237" t="s">
        <v>399</v>
      </c>
      <c r="D38" s="283" t="s">
        <v>386</v>
      </c>
      <c r="E38" s="222">
        <v>2016</v>
      </c>
      <c r="F38" s="14">
        <f t="shared" ref="F38:F40" si="2">SUM(G38:I38)</f>
        <v>0</v>
      </c>
      <c r="G38" s="14"/>
      <c r="H38" s="14">
        <f>7375.9-7375.9</f>
        <v>0</v>
      </c>
      <c r="I38" s="14">
        <f>74.5-74.5</f>
        <v>0</v>
      </c>
      <c r="J38" s="14"/>
      <c r="K38" s="367"/>
      <c r="L38" s="99"/>
    </row>
    <row r="39" spans="1:33" ht="15" x14ac:dyDescent="0.25">
      <c r="A39" s="319"/>
      <c r="B39" s="288"/>
      <c r="C39" s="237"/>
      <c r="D39" s="283"/>
      <c r="E39" s="222">
        <v>2017</v>
      </c>
      <c r="F39" s="7">
        <f t="shared" si="2"/>
        <v>62.6</v>
      </c>
      <c r="G39" s="7"/>
      <c r="H39" s="7">
        <v>0</v>
      </c>
      <c r="I39" s="7">
        <v>62.6</v>
      </c>
      <c r="J39" s="14"/>
      <c r="K39" s="367"/>
      <c r="L39" s="99"/>
    </row>
    <row r="40" spans="1:33" ht="15" x14ac:dyDescent="0.25">
      <c r="A40" s="319"/>
      <c r="B40" s="288"/>
      <c r="C40" s="237"/>
      <c r="D40" s="283"/>
      <c r="E40" s="222">
        <v>2018</v>
      </c>
      <c r="F40" s="7">
        <f t="shared" si="2"/>
        <v>7450.5</v>
      </c>
      <c r="G40" s="7"/>
      <c r="H40" s="7">
        <v>7376</v>
      </c>
      <c r="I40" s="7">
        <v>74.5</v>
      </c>
      <c r="J40" s="14"/>
      <c r="K40" s="367"/>
      <c r="L40" s="99"/>
    </row>
    <row r="41" spans="1:33" ht="67.5" customHeight="1" x14ac:dyDescent="0.2">
      <c r="A41" s="319"/>
      <c r="B41" s="288"/>
      <c r="C41" s="237"/>
      <c r="D41" s="283"/>
      <c r="E41" s="18" t="s">
        <v>18</v>
      </c>
      <c r="F41" s="8">
        <f>SUM(F38:F40)</f>
        <v>7513.1</v>
      </c>
      <c r="G41" s="8">
        <f t="shared" ref="G41:I41" si="3">SUM(G38:G40)</f>
        <v>0</v>
      </c>
      <c r="H41" s="8">
        <f t="shared" si="3"/>
        <v>7376</v>
      </c>
      <c r="I41" s="8">
        <f t="shared" si="3"/>
        <v>137.1</v>
      </c>
      <c r="J41" s="14"/>
      <c r="K41" s="367"/>
      <c r="L41" s="99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</row>
    <row r="42" spans="1:33" ht="15" x14ac:dyDescent="0.25">
      <c r="A42" s="319" t="s">
        <v>260</v>
      </c>
      <c r="B42" s="288" t="s">
        <v>245</v>
      </c>
      <c r="C42" s="237" t="s">
        <v>399</v>
      </c>
      <c r="D42" s="283" t="s">
        <v>386</v>
      </c>
      <c r="E42" s="222">
        <v>2017</v>
      </c>
      <c r="F42" s="7">
        <f t="shared" ref="F42" si="4">SUM(G42:I42)</f>
        <v>2075</v>
      </c>
      <c r="G42" s="7"/>
      <c r="H42" s="7">
        <f>7425-5425</f>
        <v>2000</v>
      </c>
      <c r="I42" s="7">
        <v>75</v>
      </c>
      <c r="J42" s="14"/>
      <c r="K42" s="367"/>
      <c r="L42" s="99"/>
    </row>
    <row r="43" spans="1:33" ht="15" x14ac:dyDescent="0.25">
      <c r="A43" s="319"/>
      <c r="B43" s="288"/>
      <c r="C43" s="237"/>
      <c r="D43" s="283"/>
      <c r="E43" s="222">
        <v>2018</v>
      </c>
      <c r="F43" s="7">
        <f t="shared" ref="F43" si="5">SUM(G43:I43)</f>
        <v>7795.5</v>
      </c>
      <c r="G43" s="7"/>
      <c r="H43" s="7">
        <v>7717.5</v>
      </c>
      <c r="I43" s="7">
        <f>2285.5-2207.5</f>
        <v>78</v>
      </c>
      <c r="J43" s="14"/>
      <c r="K43" s="367"/>
      <c r="L43" s="99"/>
    </row>
    <row r="44" spans="1:33" ht="15" x14ac:dyDescent="0.25">
      <c r="A44" s="319"/>
      <c r="B44" s="288"/>
      <c r="C44" s="237"/>
      <c r="D44" s="283"/>
      <c r="E44" s="222">
        <v>2019</v>
      </c>
      <c r="F44" s="7">
        <f t="shared" ref="F44" si="6">SUM(G44:I44)</f>
        <v>0.8</v>
      </c>
      <c r="G44" s="7"/>
      <c r="H44" s="7">
        <v>0</v>
      </c>
      <c r="I44" s="7">
        <v>0.8</v>
      </c>
      <c r="J44" s="14"/>
      <c r="K44" s="367"/>
      <c r="L44" s="99"/>
    </row>
    <row r="45" spans="1:33" ht="117" customHeight="1" x14ac:dyDescent="0.2">
      <c r="A45" s="319"/>
      <c r="B45" s="288"/>
      <c r="C45" s="237"/>
      <c r="D45" s="283"/>
      <c r="E45" s="18" t="s">
        <v>18</v>
      </c>
      <c r="F45" s="8">
        <f>SUM(F42:F44)</f>
        <v>9871.2999999999993</v>
      </c>
      <c r="G45" s="8">
        <f>SUM(G42:G42)</f>
        <v>0</v>
      </c>
      <c r="H45" s="8">
        <f>SUM(H42:H44)</f>
        <v>9717.5</v>
      </c>
      <c r="I45" s="8">
        <f>SUM(I42:I44)</f>
        <v>153.80000000000001</v>
      </c>
      <c r="J45" s="14"/>
      <c r="K45" s="367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</row>
    <row r="46" spans="1:33" ht="15" x14ac:dyDescent="0.25">
      <c r="A46" s="319" t="s">
        <v>322</v>
      </c>
      <c r="B46" s="288" t="s">
        <v>385</v>
      </c>
      <c r="C46" s="237">
        <v>2017</v>
      </c>
      <c r="D46" s="283" t="s">
        <v>386</v>
      </c>
      <c r="E46" s="222">
        <v>2017</v>
      </c>
      <c r="F46" s="7">
        <f t="shared" ref="F46" si="7">SUM(G46:I46)</f>
        <v>1420.6</v>
      </c>
      <c r="G46" s="7"/>
      <c r="H46" s="7">
        <f>7375.9-7375.9</f>
        <v>0</v>
      </c>
      <c r="I46" s="7">
        <v>1420.6</v>
      </c>
      <c r="J46" s="14"/>
      <c r="K46" s="367"/>
      <c r="L46" s="99"/>
    </row>
    <row r="47" spans="1:33" ht="118.5" customHeight="1" x14ac:dyDescent="0.2">
      <c r="A47" s="319"/>
      <c r="B47" s="288"/>
      <c r="C47" s="237"/>
      <c r="D47" s="283"/>
      <c r="E47" s="18" t="s">
        <v>18</v>
      </c>
      <c r="F47" s="8">
        <f>SUM(F46:F46)</f>
        <v>1420.6</v>
      </c>
      <c r="G47" s="8">
        <f>SUM(G46:G46)</f>
        <v>0</v>
      </c>
      <c r="H47" s="8">
        <f>SUM(H46:H46)</f>
        <v>0</v>
      </c>
      <c r="I47" s="8">
        <f>SUM(I46:I46)</f>
        <v>1420.6</v>
      </c>
      <c r="J47" s="14"/>
      <c r="K47" s="367"/>
      <c r="L47" s="99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</row>
    <row r="48" spans="1:33" ht="24" customHeight="1" x14ac:dyDescent="0.2">
      <c r="A48" s="368" t="s">
        <v>21</v>
      </c>
      <c r="B48" s="368"/>
      <c r="C48" s="368"/>
      <c r="D48" s="368"/>
      <c r="E48" s="216"/>
      <c r="F48" s="8">
        <f>F28+F37+F41+F45+F47</f>
        <v>156256.4</v>
      </c>
      <c r="G48" s="8">
        <f>G28+G37+G41+G45</f>
        <v>0</v>
      </c>
      <c r="H48" s="8">
        <f>H28+H37+H41+H45</f>
        <v>152514.19999999998</v>
      </c>
      <c r="I48" s="8">
        <f>I28+I37+I41+I45+I46</f>
        <v>3742.2</v>
      </c>
      <c r="J48" s="30"/>
      <c r="K48" s="219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</row>
    <row r="49" spans="1:26" ht="24.75" customHeight="1" x14ac:dyDescent="0.2">
      <c r="A49" s="259" t="s">
        <v>22</v>
      </c>
      <c r="B49" s="259"/>
      <c r="C49" s="259"/>
      <c r="D49" s="259"/>
      <c r="E49" s="259"/>
      <c r="F49" s="259"/>
      <c r="G49" s="259"/>
      <c r="H49" s="259"/>
      <c r="I49" s="259"/>
      <c r="J49" s="259"/>
      <c r="K49" s="25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8"/>
    </row>
    <row r="50" spans="1:26" ht="13.5" customHeight="1" x14ac:dyDescent="0.25">
      <c r="A50" s="341" t="s">
        <v>116</v>
      </c>
      <c r="B50" s="354" t="s">
        <v>23</v>
      </c>
      <c r="C50" s="281" t="s">
        <v>123</v>
      </c>
      <c r="D50" s="239" t="s">
        <v>207</v>
      </c>
      <c r="E50" s="208">
        <v>2015</v>
      </c>
      <c r="F50" s="143">
        <f>SUM(G50:I50)</f>
        <v>4863.4000000000005</v>
      </c>
      <c r="G50" s="143"/>
      <c r="H50" s="143">
        <v>4814.8</v>
      </c>
      <c r="I50" s="143">
        <v>48.6</v>
      </c>
      <c r="J50" s="12"/>
      <c r="K50" s="239" t="s">
        <v>131</v>
      </c>
      <c r="O50" s="107"/>
    </row>
    <row r="51" spans="1:26" ht="15" x14ac:dyDescent="0.25">
      <c r="A51" s="337"/>
      <c r="B51" s="305"/>
      <c r="C51" s="238"/>
      <c r="D51" s="240"/>
      <c r="E51" s="222">
        <v>2016</v>
      </c>
      <c r="F51" s="7"/>
      <c r="G51" s="7"/>
      <c r="H51" s="7"/>
      <c r="I51" s="7"/>
      <c r="J51" s="14"/>
      <c r="K51" s="240"/>
    </row>
    <row r="52" spans="1:26" ht="15" x14ac:dyDescent="0.25">
      <c r="A52" s="337"/>
      <c r="B52" s="305"/>
      <c r="C52" s="238"/>
      <c r="D52" s="240"/>
      <c r="E52" s="222">
        <v>2017</v>
      </c>
      <c r="F52" s="7"/>
      <c r="G52" s="7"/>
      <c r="H52" s="7"/>
      <c r="I52" s="7"/>
      <c r="J52" s="14"/>
      <c r="K52" s="240"/>
      <c r="L52" s="99"/>
    </row>
    <row r="53" spans="1:26" ht="15" x14ac:dyDescent="0.25">
      <c r="A53" s="337"/>
      <c r="B53" s="305"/>
      <c r="C53" s="238"/>
      <c r="D53" s="240"/>
      <c r="E53" s="222">
        <v>2018</v>
      </c>
      <c r="F53" s="7"/>
      <c r="G53" s="7"/>
      <c r="H53" s="7"/>
      <c r="I53" s="7"/>
      <c r="J53" s="14"/>
      <c r="K53" s="240"/>
    </row>
    <row r="54" spans="1:26" ht="15" x14ac:dyDescent="0.25">
      <c r="A54" s="337"/>
      <c r="B54" s="305"/>
      <c r="C54" s="238"/>
      <c r="D54" s="240"/>
      <c r="E54" s="222">
        <v>2019</v>
      </c>
      <c r="F54" s="7"/>
      <c r="G54" s="7"/>
      <c r="H54" s="7"/>
      <c r="I54" s="7"/>
      <c r="J54" s="14"/>
      <c r="K54" s="240"/>
    </row>
    <row r="55" spans="1:26" ht="15" x14ac:dyDescent="0.25">
      <c r="A55" s="337"/>
      <c r="B55" s="305"/>
      <c r="C55" s="238"/>
      <c r="D55" s="240"/>
      <c r="E55" s="222">
        <v>2020</v>
      </c>
      <c r="F55" s="7"/>
      <c r="G55" s="7"/>
      <c r="H55" s="7"/>
      <c r="I55" s="7"/>
      <c r="J55" s="14"/>
      <c r="K55" s="240"/>
    </row>
    <row r="56" spans="1:26" ht="47.25" customHeight="1" x14ac:dyDescent="0.2">
      <c r="A56" s="337"/>
      <c r="B56" s="364"/>
      <c r="C56" s="272"/>
      <c r="D56" s="241"/>
      <c r="E56" s="18" t="s">
        <v>18</v>
      </c>
      <c r="F56" s="8">
        <f>SUM(F50:F55)</f>
        <v>4863.4000000000005</v>
      </c>
      <c r="G56" s="8"/>
      <c r="H56" s="8">
        <f>SUM(H50:H55)</f>
        <v>4814.8</v>
      </c>
      <c r="I56" s="8">
        <f>SUM(I50:I55)</f>
        <v>48.6</v>
      </c>
      <c r="J56" s="14"/>
      <c r="K56" s="240"/>
    </row>
    <row r="57" spans="1:26" ht="12.75" customHeight="1" x14ac:dyDescent="0.25">
      <c r="A57" s="337" t="s">
        <v>261</v>
      </c>
      <c r="B57" s="288" t="s">
        <v>24</v>
      </c>
      <c r="C57" s="237">
        <v>2015</v>
      </c>
      <c r="D57" s="239" t="s">
        <v>207</v>
      </c>
      <c r="E57" s="222">
        <v>2015</v>
      </c>
      <c r="F57" s="7">
        <f>SUM(G57:I57)</f>
        <v>1538.4</v>
      </c>
      <c r="G57" s="7"/>
      <c r="H57" s="7"/>
      <c r="I57" s="7">
        <v>1538.4</v>
      </c>
      <c r="J57" s="14"/>
      <c r="K57" s="240"/>
    </row>
    <row r="58" spans="1:26" ht="55.5" customHeight="1" x14ac:dyDescent="0.2">
      <c r="A58" s="337"/>
      <c r="B58" s="364"/>
      <c r="C58" s="272"/>
      <c r="D58" s="241"/>
      <c r="E58" s="18" t="s">
        <v>18</v>
      </c>
      <c r="F58" s="8">
        <f>SUM(F57:F57)</f>
        <v>1538.4</v>
      </c>
      <c r="G58" s="8"/>
      <c r="H58" s="8"/>
      <c r="I58" s="8">
        <f>SUM(I57:I57)</f>
        <v>1538.4</v>
      </c>
      <c r="J58" s="14"/>
      <c r="K58" s="241"/>
    </row>
    <row r="59" spans="1:26" ht="15" x14ac:dyDescent="0.25">
      <c r="A59" s="337" t="s">
        <v>262</v>
      </c>
      <c r="B59" s="288" t="s">
        <v>25</v>
      </c>
      <c r="C59" s="296" t="s">
        <v>400</v>
      </c>
      <c r="D59" s="239" t="s">
        <v>207</v>
      </c>
      <c r="E59" s="222">
        <v>2015</v>
      </c>
      <c r="F59" s="7">
        <f t="shared" ref="F59:F64" si="8">SUM(G59:J59)</f>
        <v>21031.8</v>
      </c>
      <c r="G59" s="7"/>
      <c r="H59" s="7"/>
      <c r="I59" s="7">
        <f>22881.8-1000-850</f>
        <v>21031.8</v>
      </c>
      <c r="J59" s="14"/>
      <c r="K59" s="239" t="s">
        <v>133</v>
      </c>
    </row>
    <row r="60" spans="1:26" ht="15" x14ac:dyDescent="0.25">
      <c r="A60" s="337"/>
      <c r="B60" s="305"/>
      <c r="C60" s="254"/>
      <c r="D60" s="240"/>
      <c r="E60" s="222">
        <v>2016</v>
      </c>
      <c r="F60" s="7">
        <f t="shared" si="8"/>
        <v>21444.400000000001</v>
      </c>
      <c r="G60" s="7"/>
      <c r="H60" s="7"/>
      <c r="I60" s="7">
        <f>22597.2-180.3-509-463.5</f>
        <v>21444.400000000001</v>
      </c>
      <c r="J60" s="14"/>
      <c r="K60" s="510"/>
      <c r="L60" s="28"/>
      <c r="M60" s="28"/>
      <c r="N60" s="113" t="s">
        <v>321</v>
      </c>
      <c r="O60" s="115"/>
      <c r="P60" s="113" t="s">
        <v>320</v>
      </c>
      <c r="Q60" s="114"/>
      <c r="R60" s="114"/>
      <c r="S60" s="115"/>
    </row>
    <row r="61" spans="1:26" ht="15" x14ac:dyDescent="0.25">
      <c r="A61" s="337"/>
      <c r="B61" s="305"/>
      <c r="C61" s="254"/>
      <c r="D61" s="240"/>
      <c r="E61" s="222">
        <v>2017</v>
      </c>
      <c r="F61" s="7">
        <f t="shared" si="8"/>
        <v>44377.700000000004</v>
      </c>
      <c r="G61" s="7"/>
      <c r="H61" s="7"/>
      <c r="I61" s="7">
        <f>21166.7+19807.9+3403.1</f>
        <v>44377.700000000004</v>
      </c>
      <c r="J61" s="14"/>
      <c r="K61" s="510"/>
      <c r="L61" s="99" t="s">
        <v>350</v>
      </c>
      <c r="M61" s="106"/>
      <c r="N61" s="108" t="s">
        <v>317</v>
      </c>
      <c r="O61" s="116">
        <v>21166.7</v>
      </c>
      <c r="P61" s="108" t="s">
        <v>318</v>
      </c>
      <c r="Q61" s="110">
        <v>11932.5</v>
      </c>
      <c r="R61" s="111" t="s">
        <v>319</v>
      </c>
      <c r="S61" s="112">
        <v>7875.4</v>
      </c>
    </row>
    <row r="62" spans="1:26" ht="15" x14ac:dyDescent="0.25">
      <c r="A62" s="337"/>
      <c r="B62" s="305"/>
      <c r="C62" s="254"/>
      <c r="D62" s="240"/>
      <c r="E62" s="222">
        <v>2018</v>
      </c>
      <c r="F62" s="7">
        <f t="shared" si="8"/>
        <v>48805.5</v>
      </c>
      <c r="G62" s="7"/>
      <c r="H62" s="7"/>
      <c r="I62" s="7">
        <f>47082.6+1722.9</f>
        <v>48805.5</v>
      </c>
      <c r="J62" s="14"/>
      <c r="K62" s="240"/>
      <c r="L62" s="99"/>
      <c r="M62" s="106"/>
    </row>
    <row r="63" spans="1:26" ht="15" x14ac:dyDescent="0.25">
      <c r="A63" s="337"/>
      <c r="B63" s="305"/>
      <c r="C63" s="254"/>
      <c r="D63" s="240"/>
      <c r="E63" s="222">
        <v>2019</v>
      </c>
      <c r="F63" s="7">
        <f t="shared" si="8"/>
        <v>78924.100000000006</v>
      </c>
      <c r="G63" s="7"/>
      <c r="H63" s="7"/>
      <c r="I63" s="7">
        <f>68983.8+7226.7+2500+213.6</f>
        <v>78924.100000000006</v>
      </c>
      <c r="J63" s="14"/>
      <c r="K63" s="240"/>
      <c r="L63" s="99"/>
      <c r="M63" s="106"/>
    </row>
    <row r="64" spans="1:26" ht="15" x14ac:dyDescent="0.25">
      <c r="A64" s="337"/>
      <c r="B64" s="305"/>
      <c r="C64" s="254"/>
      <c r="D64" s="240"/>
      <c r="E64" s="222">
        <v>2020</v>
      </c>
      <c r="F64" s="7">
        <f t="shared" si="8"/>
        <v>66531.8</v>
      </c>
      <c r="G64" s="7"/>
      <c r="H64" s="7"/>
      <c r="I64" s="7">
        <f>30974.9-25930.8+61487.7</f>
        <v>66531.8</v>
      </c>
      <c r="J64" s="14"/>
      <c r="K64" s="240"/>
      <c r="M64" s="28"/>
    </row>
    <row r="65" spans="1:14" ht="15" x14ac:dyDescent="0.25">
      <c r="A65" s="337"/>
      <c r="B65" s="305"/>
      <c r="C65" s="254"/>
      <c r="D65" s="240"/>
      <c r="E65" s="222">
        <v>2021</v>
      </c>
      <c r="F65" s="7">
        <f t="shared" ref="F65" si="9">SUM(G65:J65)</f>
        <v>13344.6</v>
      </c>
      <c r="G65" s="7"/>
      <c r="H65" s="7"/>
      <c r="I65" s="7">
        <v>13344.6</v>
      </c>
      <c r="J65" s="14"/>
      <c r="K65" s="240"/>
      <c r="M65" s="28"/>
    </row>
    <row r="66" spans="1:14" ht="15" x14ac:dyDescent="0.25">
      <c r="A66" s="337"/>
      <c r="B66" s="305"/>
      <c r="C66" s="254"/>
      <c r="D66" s="240"/>
      <c r="E66" s="222">
        <v>2022</v>
      </c>
      <c r="F66" s="7">
        <f t="shared" ref="F66" si="10">SUM(G66:J66)</f>
        <v>0</v>
      </c>
      <c r="G66" s="7"/>
      <c r="H66" s="7"/>
      <c r="I66" s="7">
        <f>11690.4-11690.4</f>
        <v>0</v>
      </c>
      <c r="J66" s="14"/>
      <c r="K66" s="240"/>
      <c r="M66" s="28"/>
    </row>
    <row r="67" spans="1:14" ht="15" x14ac:dyDescent="0.25">
      <c r="A67" s="337"/>
      <c r="B67" s="305"/>
      <c r="C67" s="254"/>
      <c r="D67" s="240"/>
      <c r="E67" s="222">
        <v>2023</v>
      </c>
      <c r="F67" s="7">
        <f t="shared" ref="F67" si="11">SUM(G67:J67)</f>
        <v>12158</v>
      </c>
      <c r="G67" s="7"/>
      <c r="H67" s="7"/>
      <c r="I67" s="7">
        <v>12158</v>
      </c>
      <c r="J67" s="14"/>
      <c r="K67" s="240"/>
      <c r="M67" s="28"/>
    </row>
    <row r="68" spans="1:14" ht="15" x14ac:dyDescent="0.25">
      <c r="A68" s="337"/>
      <c r="B68" s="305"/>
      <c r="C68" s="254"/>
      <c r="D68" s="240"/>
      <c r="E68" s="222">
        <v>2024</v>
      </c>
      <c r="F68" s="7">
        <f t="shared" ref="F68" si="12">SUM(G68:J68)</f>
        <v>12644.3</v>
      </c>
      <c r="G68" s="7"/>
      <c r="H68" s="7"/>
      <c r="I68" s="7">
        <v>12644.3</v>
      </c>
      <c r="J68" s="14"/>
      <c r="K68" s="240"/>
      <c r="M68" s="28"/>
    </row>
    <row r="69" spans="1:14" ht="15" x14ac:dyDescent="0.25">
      <c r="A69" s="337"/>
      <c r="B69" s="305"/>
      <c r="C69" s="254"/>
      <c r="D69" s="240"/>
      <c r="E69" s="222">
        <v>2025</v>
      </c>
      <c r="F69" s="7">
        <f t="shared" ref="F69" si="13">SUM(G69:J69)</f>
        <v>13150.1</v>
      </c>
      <c r="G69" s="7"/>
      <c r="H69" s="7"/>
      <c r="I69" s="7">
        <v>13150.1</v>
      </c>
      <c r="J69" s="14"/>
      <c r="K69" s="240"/>
      <c r="M69" s="28"/>
    </row>
    <row r="70" spans="1:14" ht="38.25" customHeight="1" x14ac:dyDescent="0.2">
      <c r="A70" s="337"/>
      <c r="B70" s="305"/>
      <c r="C70" s="282"/>
      <c r="D70" s="241"/>
      <c r="E70" s="18" t="s">
        <v>18</v>
      </c>
      <c r="F70" s="8">
        <f>SUM(F59:F69)</f>
        <v>332412.29999999993</v>
      </c>
      <c r="G70" s="8"/>
      <c r="H70" s="8"/>
      <c r="I70" s="8">
        <f>SUM(I59:I69)</f>
        <v>332412.29999999993</v>
      </c>
      <c r="J70" s="13"/>
      <c r="K70" s="241"/>
    </row>
    <row r="71" spans="1:14" ht="15" x14ac:dyDescent="0.25">
      <c r="A71" s="337" t="s">
        <v>263</v>
      </c>
      <c r="B71" s="288" t="s">
        <v>246</v>
      </c>
      <c r="C71" s="296" t="s">
        <v>400</v>
      </c>
      <c r="D71" s="239" t="s">
        <v>207</v>
      </c>
      <c r="E71" s="222">
        <v>2017</v>
      </c>
      <c r="F71" s="7">
        <f t="shared" ref="F71:F74" si="14">SUM(G71:J71)</f>
        <v>10971.099999999999</v>
      </c>
      <c r="G71" s="7"/>
      <c r="H71" s="7">
        <f>20253.8-8128.5-1154.2</f>
        <v>10971.099999999999</v>
      </c>
      <c r="I71" s="7"/>
      <c r="J71" s="14"/>
      <c r="K71" s="239" t="s">
        <v>257</v>
      </c>
      <c r="L71" s="99" t="s">
        <v>309</v>
      </c>
      <c r="M71" s="4">
        <v>8128.5</v>
      </c>
      <c r="N71" s="99"/>
    </row>
    <row r="72" spans="1:14" ht="15" x14ac:dyDescent="0.25">
      <c r="A72" s="337"/>
      <c r="B72" s="305"/>
      <c r="C72" s="254"/>
      <c r="D72" s="240"/>
      <c r="E72" s="222">
        <v>2018</v>
      </c>
      <c r="F72" s="7">
        <f t="shared" si="14"/>
        <v>11496.8</v>
      </c>
      <c r="G72" s="7"/>
      <c r="H72" s="7">
        <f>17346.3-5849.5</f>
        <v>11496.8</v>
      </c>
      <c r="I72" s="7"/>
      <c r="J72" s="14"/>
      <c r="K72" s="240"/>
    </row>
    <row r="73" spans="1:14" ht="15" x14ac:dyDescent="0.25">
      <c r="A73" s="337"/>
      <c r="B73" s="305"/>
      <c r="C73" s="254"/>
      <c r="D73" s="240"/>
      <c r="E73" s="222">
        <v>2019</v>
      </c>
      <c r="F73" s="7">
        <f t="shared" si="14"/>
        <v>11964.9</v>
      </c>
      <c r="G73" s="7"/>
      <c r="H73" s="7">
        <f>13556.5-459.9-1131.7</f>
        <v>11964.9</v>
      </c>
      <c r="I73" s="7"/>
      <c r="J73" s="14"/>
      <c r="K73" s="240"/>
      <c r="M73" s="106"/>
    </row>
    <row r="74" spans="1:14" ht="15" x14ac:dyDescent="0.25">
      <c r="A74" s="337"/>
      <c r="B74" s="305"/>
      <c r="C74" s="254"/>
      <c r="D74" s="240"/>
      <c r="E74" s="222">
        <v>2020</v>
      </c>
      <c r="F74" s="7">
        <f t="shared" si="14"/>
        <v>13629.1</v>
      </c>
      <c r="G74" s="7"/>
      <c r="H74" s="7">
        <f>14156.5-527.4</f>
        <v>13629.1</v>
      </c>
      <c r="I74" s="7"/>
      <c r="J74" s="14"/>
      <c r="K74" s="240"/>
      <c r="L74" s="99"/>
      <c r="M74" s="106"/>
    </row>
    <row r="75" spans="1:14" ht="15" x14ac:dyDescent="0.25">
      <c r="A75" s="337"/>
      <c r="B75" s="305"/>
      <c r="C75" s="254"/>
      <c r="D75" s="240"/>
      <c r="E75" s="222">
        <v>2021</v>
      </c>
      <c r="F75" s="7">
        <f t="shared" ref="F75:F78" si="15">SUM(G75:J75)</f>
        <v>13629.1</v>
      </c>
      <c r="G75" s="7"/>
      <c r="H75" s="7">
        <f>14156.5-527.4</f>
        <v>13629.1</v>
      </c>
      <c r="I75" s="7"/>
      <c r="J75" s="14"/>
      <c r="K75" s="240"/>
      <c r="L75" s="99" t="s">
        <v>309</v>
      </c>
      <c r="M75" s="4">
        <v>8128.5</v>
      </c>
      <c r="N75" s="99"/>
    </row>
    <row r="76" spans="1:14" ht="15" x14ac:dyDescent="0.25">
      <c r="A76" s="337"/>
      <c r="B76" s="305"/>
      <c r="C76" s="254"/>
      <c r="D76" s="240"/>
      <c r="E76" s="222">
        <v>2022</v>
      </c>
      <c r="F76" s="7">
        <f t="shared" si="15"/>
        <v>13629.1</v>
      </c>
      <c r="G76" s="7"/>
      <c r="H76" s="7">
        <f>15000-1370.9</f>
        <v>13629.1</v>
      </c>
      <c r="I76" s="7"/>
      <c r="J76" s="14"/>
      <c r="K76" s="240"/>
    </row>
    <row r="77" spans="1:14" ht="15" x14ac:dyDescent="0.25">
      <c r="A77" s="337"/>
      <c r="B77" s="305"/>
      <c r="C77" s="254"/>
      <c r="D77" s="240"/>
      <c r="E77" s="222">
        <v>2023</v>
      </c>
      <c r="F77" s="7">
        <f t="shared" si="15"/>
        <v>15690</v>
      </c>
      <c r="G77" s="7"/>
      <c r="H77" s="7">
        <v>15690</v>
      </c>
      <c r="I77" s="7"/>
      <c r="J77" s="14"/>
      <c r="K77" s="240"/>
      <c r="M77" s="106"/>
    </row>
    <row r="78" spans="1:14" ht="15" x14ac:dyDescent="0.25">
      <c r="A78" s="337"/>
      <c r="B78" s="305"/>
      <c r="C78" s="254"/>
      <c r="D78" s="240"/>
      <c r="E78" s="222">
        <v>2024</v>
      </c>
      <c r="F78" s="7">
        <f t="shared" si="15"/>
        <v>16411.7</v>
      </c>
      <c r="G78" s="7"/>
      <c r="H78" s="7">
        <v>16411.7</v>
      </c>
      <c r="I78" s="7"/>
      <c r="J78" s="14"/>
      <c r="K78" s="240"/>
      <c r="L78" s="99"/>
      <c r="M78" s="106"/>
    </row>
    <row r="79" spans="1:14" ht="15" x14ac:dyDescent="0.25">
      <c r="A79" s="337"/>
      <c r="B79" s="305"/>
      <c r="C79" s="254"/>
      <c r="D79" s="240"/>
      <c r="E79" s="222">
        <v>2025</v>
      </c>
      <c r="F79" s="7">
        <f t="shared" ref="F79" si="16">SUM(G79:J79)</f>
        <v>17166.7</v>
      </c>
      <c r="G79" s="7"/>
      <c r="H79" s="7">
        <v>17166.7</v>
      </c>
      <c r="I79" s="7"/>
      <c r="J79" s="14"/>
      <c r="K79" s="240"/>
      <c r="L79" s="99"/>
      <c r="M79" s="106"/>
    </row>
    <row r="80" spans="1:14" ht="51.75" customHeight="1" x14ac:dyDescent="0.2">
      <c r="A80" s="337"/>
      <c r="B80" s="305"/>
      <c r="C80" s="282"/>
      <c r="D80" s="241"/>
      <c r="E80" s="18" t="s">
        <v>18</v>
      </c>
      <c r="F80" s="8">
        <f>SUM(F71:F79)</f>
        <v>124588.49999999999</v>
      </c>
      <c r="G80" s="8"/>
      <c r="H80" s="8">
        <f>SUM(H71:H79)</f>
        <v>124588.49999999999</v>
      </c>
      <c r="I80" s="8"/>
      <c r="J80" s="13"/>
      <c r="K80" s="241"/>
    </row>
    <row r="81" spans="1:36" ht="14.25" x14ac:dyDescent="0.2">
      <c r="A81" s="368" t="s">
        <v>26</v>
      </c>
      <c r="B81" s="368"/>
      <c r="C81" s="368"/>
      <c r="D81" s="368"/>
      <c r="E81" s="216"/>
      <c r="F81" s="8">
        <f>F56+F58+F70+F80</f>
        <v>463402.59999999992</v>
      </c>
      <c r="G81" s="8"/>
      <c r="H81" s="8">
        <f>H56+H80</f>
        <v>129403.29999999999</v>
      </c>
      <c r="I81" s="8">
        <f>I56+I58+I70</f>
        <v>333999.29999999993</v>
      </c>
      <c r="J81" s="30"/>
      <c r="K81" s="216"/>
    </row>
    <row r="82" spans="1:36" ht="15" thickBot="1" x14ac:dyDescent="0.25">
      <c r="A82" s="317" t="s">
        <v>27</v>
      </c>
      <c r="B82" s="320"/>
      <c r="C82" s="320"/>
      <c r="D82" s="320"/>
      <c r="E82" s="320"/>
      <c r="F82" s="320"/>
      <c r="G82" s="320"/>
      <c r="H82" s="320"/>
      <c r="I82" s="320"/>
      <c r="J82" s="320"/>
      <c r="K82" s="320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2"/>
    </row>
    <row r="83" spans="1:36" ht="15" x14ac:dyDescent="0.25">
      <c r="A83" s="341" t="s">
        <v>264</v>
      </c>
      <c r="B83" s="369" t="s">
        <v>438</v>
      </c>
      <c r="C83" s="296" t="s">
        <v>123</v>
      </c>
      <c r="D83" s="239" t="s">
        <v>207</v>
      </c>
      <c r="E83" s="208">
        <v>2015</v>
      </c>
      <c r="F83" s="143">
        <f>SUM(G83:I83)</f>
        <v>2018.1000000000001</v>
      </c>
      <c r="G83" s="143"/>
      <c r="H83" s="143">
        <v>1997.9</v>
      </c>
      <c r="I83" s="143">
        <v>20.2</v>
      </c>
      <c r="J83" s="12"/>
      <c r="K83" s="239" t="s">
        <v>412</v>
      </c>
      <c r="L83" s="212"/>
      <c r="M83" s="212"/>
      <c r="N83" s="212"/>
      <c r="O83" s="212"/>
      <c r="P83" s="212"/>
      <c r="Q83" s="212"/>
      <c r="R83" s="212"/>
      <c r="S83" s="212"/>
      <c r="T83" s="212"/>
      <c r="U83" s="212"/>
      <c r="V83" s="212"/>
      <c r="W83" s="212"/>
      <c r="X83" s="212"/>
      <c r="Y83" s="212"/>
      <c r="Z83" s="212"/>
      <c r="AA83" s="212"/>
      <c r="AB83" s="212"/>
      <c r="AC83" s="212"/>
      <c r="AD83" s="212"/>
      <c r="AE83" s="212"/>
      <c r="AF83" s="212"/>
      <c r="AG83" s="212"/>
      <c r="AH83" s="212"/>
      <c r="AI83" s="212"/>
      <c r="AJ83" s="212"/>
    </row>
    <row r="84" spans="1:36" ht="15" x14ac:dyDescent="0.25">
      <c r="A84" s="337"/>
      <c r="B84" s="370"/>
      <c r="C84" s="254"/>
      <c r="D84" s="240"/>
      <c r="E84" s="222">
        <v>2016</v>
      </c>
      <c r="F84" s="7"/>
      <c r="G84" s="7"/>
      <c r="H84" s="7"/>
      <c r="I84" s="7"/>
      <c r="J84" s="14"/>
      <c r="K84" s="240"/>
      <c r="L84" s="212"/>
      <c r="M84" s="212"/>
      <c r="N84" s="212"/>
      <c r="O84" s="212"/>
      <c r="P84" s="212"/>
      <c r="Q84" s="212"/>
      <c r="R84" s="212"/>
      <c r="S84" s="212"/>
      <c r="T84" s="212"/>
      <c r="U84" s="212"/>
      <c r="V84" s="212"/>
      <c r="W84" s="212"/>
      <c r="X84" s="212"/>
      <c r="Y84" s="212"/>
      <c r="Z84" s="212"/>
      <c r="AA84" s="212"/>
      <c r="AB84" s="212"/>
      <c r="AC84" s="212"/>
      <c r="AD84" s="212"/>
      <c r="AE84" s="212"/>
      <c r="AF84" s="212"/>
      <c r="AG84" s="212"/>
      <c r="AH84" s="212"/>
      <c r="AI84" s="212"/>
      <c r="AJ84" s="212"/>
    </row>
    <row r="85" spans="1:36" ht="15" x14ac:dyDescent="0.25">
      <c r="A85" s="337"/>
      <c r="B85" s="370"/>
      <c r="C85" s="254"/>
      <c r="D85" s="240"/>
      <c r="E85" s="222">
        <v>2017</v>
      </c>
      <c r="F85" s="7">
        <f>SUM(G85:I85)</f>
        <v>0</v>
      </c>
      <c r="G85" s="7"/>
      <c r="H85" s="7">
        <f>23675-23675</f>
        <v>0</v>
      </c>
      <c r="I85" s="7">
        <f>239.1-239.1</f>
        <v>0</v>
      </c>
      <c r="J85" s="14"/>
      <c r="K85" s="240"/>
      <c r="L85" s="211"/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</row>
    <row r="86" spans="1:36" ht="15" x14ac:dyDescent="0.25">
      <c r="A86" s="337"/>
      <c r="B86" s="370"/>
      <c r="C86" s="254"/>
      <c r="D86" s="240"/>
      <c r="E86" s="222">
        <v>2018</v>
      </c>
      <c r="F86" s="7"/>
      <c r="G86" s="7"/>
      <c r="H86" s="7"/>
      <c r="I86" s="7"/>
      <c r="J86" s="14"/>
      <c r="K86" s="240"/>
      <c r="L86" s="99"/>
      <c r="M86" s="212"/>
      <c r="N86" s="212"/>
      <c r="O86" s="212"/>
      <c r="P86" s="212"/>
      <c r="Q86" s="212"/>
      <c r="R86" s="212"/>
      <c r="S86" s="212"/>
      <c r="T86" s="212"/>
      <c r="U86" s="212"/>
      <c r="V86" s="212"/>
      <c r="W86" s="212"/>
      <c r="X86" s="212"/>
      <c r="Y86" s="212"/>
      <c r="Z86" s="212"/>
      <c r="AA86" s="212"/>
      <c r="AB86" s="212"/>
      <c r="AC86" s="212"/>
      <c r="AD86" s="212"/>
      <c r="AE86" s="212"/>
      <c r="AF86" s="212"/>
      <c r="AG86" s="212"/>
      <c r="AH86" s="212"/>
      <c r="AI86" s="212"/>
      <c r="AJ86" s="212"/>
    </row>
    <row r="87" spans="1:36" ht="15" x14ac:dyDescent="0.25">
      <c r="A87" s="337"/>
      <c r="B87" s="370"/>
      <c r="C87" s="254"/>
      <c r="D87" s="240"/>
      <c r="E87" s="222">
        <v>2019</v>
      </c>
      <c r="F87" s="7">
        <f>H87+I87</f>
        <v>1137.4000000000001</v>
      </c>
      <c r="G87" s="7"/>
      <c r="H87" s="7">
        <v>1126</v>
      </c>
      <c r="I87" s="7">
        <v>11.4</v>
      </c>
      <c r="J87" s="14"/>
      <c r="K87" s="240"/>
      <c r="L87" s="212"/>
      <c r="M87" s="212"/>
      <c r="N87" s="212"/>
      <c r="O87" s="212"/>
      <c r="P87" s="212"/>
      <c r="Q87" s="212"/>
      <c r="R87" s="212"/>
      <c r="S87" s="212"/>
      <c r="T87" s="212"/>
      <c r="U87" s="212"/>
      <c r="V87" s="212"/>
      <c r="W87" s="212"/>
      <c r="X87" s="212"/>
      <c r="Y87" s="212"/>
      <c r="Z87" s="212"/>
      <c r="AA87" s="212"/>
      <c r="AB87" s="212"/>
      <c r="AC87" s="212"/>
      <c r="AD87" s="212"/>
      <c r="AE87" s="212"/>
      <c r="AF87" s="212"/>
      <c r="AG87" s="212"/>
      <c r="AH87" s="212"/>
      <c r="AI87" s="212"/>
      <c r="AJ87" s="212"/>
    </row>
    <row r="88" spans="1:36" ht="15" x14ac:dyDescent="0.25">
      <c r="A88" s="337"/>
      <c r="B88" s="370"/>
      <c r="C88" s="254"/>
      <c r="D88" s="240"/>
      <c r="E88" s="222">
        <v>2020</v>
      </c>
      <c r="F88" s="7">
        <f>H88+I88</f>
        <v>9532.6</v>
      </c>
      <c r="G88" s="7"/>
      <c r="H88" s="7">
        <f>4360.2+5077</f>
        <v>9437.2000000000007</v>
      </c>
      <c r="I88" s="7">
        <f>44+51.4</f>
        <v>95.4</v>
      </c>
      <c r="J88" s="14"/>
      <c r="K88" s="240"/>
      <c r="L88" s="212"/>
      <c r="M88" s="212"/>
      <c r="N88" s="212"/>
      <c r="O88" s="212"/>
      <c r="P88" s="212"/>
      <c r="Q88" s="212"/>
      <c r="R88" s="212"/>
      <c r="S88" s="212"/>
      <c r="T88" s="212"/>
      <c r="U88" s="212"/>
      <c r="V88" s="212"/>
      <c r="W88" s="212"/>
      <c r="X88" s="212"/>
      <c r="Y88" s="212"/>
      <c r="Z88" s="212"/>
      <c r="AA88" s="212"/>
      <c r="AB88" s="212"/>
      <c r="AC88" s="212"/>
      <c r="AD88" s="212"/>
      <c r="AE88" s="212"/>
      <c r="AF88" s="212"/>
      <c r="AG88" s="212"/>
      <c r="AH88" s="212"/>
      <c r="AI88" s="212"/>
      <c r="AJ88" s="212"/>
    </row>
    <row r="89" spans="1:36" ht="182.25" customHeight="1" x14ac:dyDescent="0.2">
      <c r="A89" s="337"/>
      <c r="B89" s="371"/>
      <c r="C89" s="282"/>
      <c r="D89" s="241"/>
      <c r="E89" s="18" t="s">
        <v>18</v>
      </c>
      <c r="F89" s="8">
        <f>SUM(G89:I89)</f>
        <v>12688.1</v>
      </c>
      <c r="G89" s="8"/>
      <c r="H89" s="8">
        <f>SUM(H83:H88)</f>
        <v>12561.1</v>
      </c>
      <c r="I89" s="8">
        <f>SUM(I83:I88)</f>
        <v>127</v>
      </c>
      <c r="J89" s="14"/>
      <c r="K89" s="241"/>
      <c r="L89" s="212"/>
      <c r="M89" s="212"/>
      <c r="N89" s="212"/>
      <c r="O89" s="212"/>
      <c r="P89" s="212"/>
      <c r="Q89" s="212"/>
      <c r="R89" s="212"/>
      <c r="S89" s="212"/>
      <c r="T89" s="212"/>
      <c r="U89" s="212"/>
      <c r="V89" s="212"/>
      <c r="W89" s="212"/>
      <c r="X89" s="212"/>
      <c r="Y89" s="212"/>
      <c r="Z89" s="212"/>
      <c r="AA89" s="212"/>
      <c r="AB89" s="212"/>
      <c r="AC89" s="212"/>
      <c r="AD89" s="212"/>
      <c r="AE89" s="212"/>
      <c r="AF89" s="212"/>
      <c r="AG89" s="212"/>
      <c r="AH89" s="212"/>
      <c r="AI89" s="212"/>
      <c r="AJ89" s="212"/>
    </row>
    <row r="90" spans="1:36" ht="15" customHeight="1" x14ac:dyDescent="0.2">
      <c r="A90" s="374" t="s">
        <v>265</v>
      </c>
      <c r="B90" s="252" t="s">
        <v>232</v>
      </c>
      <c r="C90" s="296" t="s">
        <v>401</v>
      </c>
      <c r="D90" s="239" t="s">
        <v>207</v>
      </c>
      <c r="E90" s="208">
        <v>2015</v>
      </c>
      <c r="F90" s="12"/>
      <c r="G90" s="12"/>
      <c r="H90" s="12"/>
      <c r="I90" s="12"/>
      <c r="J90" s="12"/>
      <c r="K90" s="239" t="s">
        <v>134</v>
      </c>
      <c r="L90" s="212"/>
      <c r="M90" s="212"/>
      <c r="N90" s="212"/>
      <c r="O90" s="212"/>
      <c r="P90" s="212"/>
      <c r="Q90" s="212"/>
      <c r="R90" s="212"/>
      <c r="S90" s="212"/>
      <c r="T90" s="212"/>
      <c r="U90" s="212"/>
      <c r="V90" s="212"/>
      <c r="W90" s="212"/>
      <c r="X90" s="212"/>
      <c r="Y90" s="212"/>
      <c r="Z90" s="212"/>
      <c r="AA90" s="212"/>
      <c r="AB90" s="212"/>
      <c r="AC90" s="212"/>
      <c r="AD90" s="212"/>
      <c r="AE90" s="212"/>
      <c r="AF90" s="212"/>
      <c r="AG90" s="212"/>
      <c r="AH90" s="212"/>
      <c r="AI90" s="212"/>
      <c r="AJ90" s="212"/>
    </row>
    <row r="91" spans="1:36" ht="15" customHeight="1" x14ac:dyDescent="0.25">
      <c r="A91" s="375"/>
      <c r="B91" s="377"/>
      <c r="C91" s="253"/>
      <c r="D91" s="240"/>
      <c r="E91" s="222">
        <v>2016</v>
      </c>
      <c r="F91" s="143">
        <f t="shared" ref="F91:F96" si="17">SUM(G91:J91)</f>
        <v>7379.4</v>
      </c>
      <c r="G91" s="7"/>
      <c r="H91" s="7"/>
      <c r="I91" s="7">
        <f>1500+4748.2+1131.2</f>
        <v>7379.4</v>
      </c>
      <c r="J91" s="14"/>
      <c r="K91" s="240"/>
      <c r="L91" s="211"/>
      <c r="M91" s="211"/>
      <c r="N91" s="211"/>
      <c r="O91" s="211"/>
      <c r="P91" s="212"/>
      <c r="Q91" s="212"/>
      <c r="R91" s="212"/>
      <c r="S91" s="212"/>
      <c r="T91" s="212"/>
      <c r="U91" s="212"/>
      <c r="V91" s="212"/>
      <c r="W91" s="212"/>
      <c r="X91" s="212"/>
      <c r="Y91" s="212"/>
      <c r="Z91" s="212"/>
      <c r="AA91" s="212"/>
      <c r="AB91" s="212"/>
      <c r="AC91" s="212"/>
      <c r="AD91" s="212"/>
      <c r="AE91" s="212"/>
      <c r="AF91" s="212"/>
      <c r="AG91" s="212"/>
      <c r="AH91" s="212"/>
      <c r="AI91" s="212"/>
      <c r="AJ91" s="212"/>
    </row>
    <row r="92" spans="1:36" ht="12.75" customHeight="1" x14ac:dyDescent="0.25">
      <c r="A92" s="375"/>
      <c r="B92" s="377"/>
      <c r="C92" s="253"/>
      <c r="D92" s="240"/>
      <c r="E92" s="222">
        <v>2017</v>
      </c>
      <c r="F92" s="143">
        <f t="shared" si="17"/>
        <v>3628</v>
      </c>
      <c r="G92" s="7"/>
      <c r="H92" s="7"/>
      <c r="I92" s="7">
        <v>3628</v>
      </c>
      <c r="J92" s="14"/>
      <c r="K92" s="240"/>
      <c r="L92" s="211"/>
      <c r="M92" s="501"/>
      <c r="N92" s="501"/>
      <c r="O92" s="501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2"/>
      <c r="AC92" s="212"/>
      <c r="AD92" s="212"/>
      <c r="AE92" s="212"/>
      <c r="AF92" s="212"/>
      <c r="AG92" s="212"/>
      <c r="AH92" s="212"/>
      <c r="AI92" s="212"/>
      <c r="AJ92" s="212"/>
    </row>
    <row r="93" spans="1:36" ht="12" customHeight="1" x14ac:dyDescent="0.25">
      <c r="A93" s="375"/>
      <c r="B93" s="377"/>
      <c r="C93" s="253"/>
      <c r="D93" s="240"/>
      <c r="E93" s="222">
        <v>2018</v>
      </c>
      <c r="F93" s="143">
        <f t="shared" si="17"/>
        <v>1000</v>
      </c>
      <c r="G93" s="7"/>
      <c r="H93" s="7"/>
      <c r="I93" s="7">
        <v>1000</v>
      </c>
      <c r="J93" s="14"/>
      <c r="K93" s="240"/>
      <c r="L93" s="99"/>
      <c r="M93" s="211"/>
      <c r="N93" s="211"/>
      <c r="O93" s="211"/>
      <c r="P93" s="212"/>
      <c r="Q93" s="212"/>
      <c r="R93" s="212"/>
      <c r="S93" s="212"/>
      <c r="T93" s="212"/>
      <c r="U93" s="212"/>
      <c r="V93" s="212"/>
      <c r="W93" s="212"/>
      <c r="X93" s="212"/>
      <c r="Y93" s="212"/>
      <c r="Z93" s="212"/>
      <c r="AA93" s="212"/>
      <c r="AB93" s="212"/>
      <c r="AC93" s="212"/>
      <c r="AD93" s="212"/>
      <c r="AE93" s="212"/>
      <c r="AF93" s="212"/>
      <c r="AG93" s="212"/>
      <c r="AH93" s="212"/>
      <c r="AI93" s="212"/>
      <c r="AJ93" s="212"/>
    </row>
    <row r="94" spans="1:36" ht="14.25" customHeight="1" x14ac:dyDescent="0.25">
      <c r="A94" s="375"/>
      <c r="B94" s="377"/>
      <c r="C94" s="253"/>
      <c r="D94" s="240"/>
      <c r="E94" s="222">
        <v>2019</v>
      </c>
      <c r="F94" s="143">
        <f t="shared" si="17"/>
        <v>831.7</v>
      </c>
      <c r="G94" s="7"/>
      <c r="H94" s="7"/>
      <c r="I94" s="7">
        <f>800+31.7</f>
        <v>831.7</v>
      </c>
      <c r="J94" s="14"/>
      <c r="K94" s="240"/>
      <c r="L94" s="211"/>
      <c r="M94" s="211"/>
      <c r="N94" s="211"/>
      <c r="O94" s="211"/>
      <c r="P94" s="212"/>
      <c r="Q94" s="212"/>
      <c r="R94" s="212"/>
      <c r="S94" s="212"/>
      <c r="T94" s="212"/>
      <c r="U94" s="212"/>
      <c r="V94" s="212"/>
      <c r="W94" s="212"/>
      <c r="X94" s="212"/>
      <c r="Y94" s="212"/>
      <c r="Z94" s="212"/>
      <c r="AA94" s="212"/>
      <c r="AB94" s="212"/>
      <c r="AC94" s="212"/>
      <c r="AD94" s="212"/>
      <c r="AE94" s="212"/>
      <c r="AF94" s="212"/>
      <c r="AG94" s="212"/>
      <c r="AH94" s="212"/>
      <c r="AI94" s="212"/>
      <c r="AJ94" s="212"/>
    </row>
    <row r="95" spans="1:36" ht="12" customHeight="1" x14ac:dyDescent="0.25">
      <c r="A95" s="375"/>
      <c r="B95" s="377"/>
      <c r="C95" s="253"/>
      <c r="D95" s="240"/>
      <c r="E95" s="222">
        <v>2020</v>
      </c>
      <c r="F95" s="7">
        <f t="shared" si="17"/>
        <v>750</v>
      </c>
      <c r="G95" s="7"/>
      <c r="H95" s="7"/>
      <c r="I95" s="7">
        <v>750</v>
      </c>
      <c r="J95" s="14"/>
      <c r="K95" s="240"/>
      <c r="L95" s="211"/>
      <c r="M95" s="211"/>
      <c r="N95" s="211"/>
      <c r="O95" s="211"/>
      <c r="P95" s="212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2"/>
      <c r="AD95" s="212"/>
      <c r="AE95" s="212"/>
      <c r="AF95" s="212"/>
      <c r="AG95" s="212"/>
      <c r="AH95" s="212"/>
      <c r="AI95" s="212"/>
      <c r="AJ95" s="212"/>
    </row>
    <row r="96" spans="1:36" ht="12" customHeight="1" x14ac:dyDescent="0.25">
      <c r="A96" s="375"/>
      <c r="B96" s="377"/>
      <c r="C96" s="253"/>
      <c r="D96" s="240"/>
      <c r="E96" s="222">
        <v>2021</v>
      </c>
      <c r="F96" s="7">
        <f t="shared" si="17"/>
        <v>0</v>
      </c>
      <c r="G96" s="7"/>
      <c r="H96" s="7"/>
      <c r="I96" s="7">
        <v>0</v>
      </c>
      <c r="J96" s="14"/>
      <c r="K96" s="240"/>
      <c r="L96" s="211"/>
      <c r="M96" s="211"/>
      <c r="N96" s="211"/>
      <c r="O96" s="211"/>
      <c r="P96" s="212"/>
      <c r="Q96" s="212"/>
      <c r="R96" s="212"/>
      <c r="S96" s="212"/>
      <c r="T96" s="212"/>
      <c r="U96" s="212"/>
      <c r="V96" s="212"/>
      <c r="W96" s="212"/>
      <c r="X96" s="212"/>
      <c r="Y96" s="212"/>
      <c r="Z96" s="212"/>
      <c r="AA96" s="212"/>
      <c r="AB96" s="212"/>
      <c r="AC96" s="212"/>
      <c r="AD96" s="212"/>
      <c r="AE96" s="212"/>
      <c r="AF96" s="212"/>
      <c r="AG96" s="212"/>
      <c r="AH96" s="212"/>
      <c r="AI96" s="212"/>
      <c r="AJ96" s="212"/>
    </row>
    <row r="97" spans="1:36" ht="15" customHeight="1" x14ac:dyDescent="0.2">
      <c r="A97" s="376"/>
      <c r="B97" s="250"/>
      <c r="C97" s="281"/>
      <c r="D97" s="241"/>
      <c r="E97" s="18" t="s">
        <v>18</v>
      </c>
      <c r="F97" s="8">
        <f>SUM(G97:I97)</f>
        <v>13589.1</v>
      </c>
      <c r="G97" s="8"/>
      <c r="H97" s="8">
        <f>SUM(H90:H94)</f>
        <v>0</v>
      </c>
      <c r="I97" s="8">
        <f>SUM(I90:I96)</f>
        <v>13589.1</v>
      </c>
      <c r="J97" s="14"/>
      <c r="K97" s="241"/>
      <c r="L97" s="212"/>
      <c r="M97" s="212"/>
      <c r="N97" s="212"/>
      <c r="O97" s="212"/>
      <c r="P97" s="212"/>
      <c r="Q97" s="212"/>
      <c r="R97" s="212"/>
      <c r="S97" s="212"/>
      <c r="T97" s="212"/>
      <c r="U97" s="212"/>
      <c r="V97" s="212"/>
      <c r="W97" s="212"/>
      <c r="X97" s="212"/>
      <c r="Y97" s="212"/>
      <c r="Z97" s="212"/>
      <c r="AA97" s="212"/>
      <c r="AB97" s="212"/>
      <c r="AC97" s="212"/>
      <c r="AD97" s="212"/>
      <c r="AE97" s="212"/>
      <c r="AF97" s="212"/>
      <c r="AG97" s="212"/>
      <c r="AH97" s="212"/>
      <c r="AI97" s="212"/>
      <c r="AJ97" s="212"/>
    </row>
    <row r="98" spans="1:36" ht="14.25" x14ac:dyDescent="0.2">
      <c r="A98" s="372" t="s">
        <v>28</v>
      </c>
      <c r="B98" s="372"/>
      <c r="C98" s="372"/>
      <c r="D98" s="372"/>
      <c r="E98" s="19"/>
      <c r="F98" s="144">
        <f>SUM(G98:I98)</f>
        <v>26277.200000000001</v>
      </c>
      <c r="G98" s="144"/>
      <c r="H98" s="144">
        <f>H89</f>
        <v>12561.1</v>
      </c>
      <c r="I98" s="144">
        <f>I89+I97</f>
        <v>13716.1</v>
      </c>
      <c r="J98" s="20"/>
      <c r="K98" s="19"/>
    </row>
    <row r="99" spans="1:36" ht="15" x14ac:dyDescent="0.25">
      <c r="A99" s="293" t="s">
        <v>29</v>
      </c>
      <c r="B99" s="373"/>
      <c r="C99" s="373"/>
      <c r="D99" s="373"/>
      <c r="E99" s="373"/>
      <c r="F99" s="373"/>
      <c r="G99" s="373"/>
      <c r="H99" s="373"/>
      <c r="I99" s="373"/>
      <c r="J99" s="373"/>
      <c r="K99" s="37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28"/>
      <c r="W99" s="28"/>
      <c r="X99" s="28"/>
      <c r="Y99" s="28"/>
      <c r="Z99" s="28"/>
      <c r="AA99" s="28"/>
      <c r="AB99" s="28"/>
      <c r="AC99" s="28"/>
    </row>
    <row r="100" spans="1:36" ht="15" x14ac:dyDescent="0.25">
      <c r="A100" s="337" t="s">
        <v>266</v>
      </c>
      <c r="B100" s="315" t="s">
        <v>30</v>
      </c>
      <c r="C100" s="296" t="s">
        <v>123</v>
      </c>
      <c r="D100" s="239" t="s">
        <v>207</v>
      </c>
      <c r="E100" s="222">
        <v>2015</v>
      </c>
      <c r="F100" s="7">
        <f t="shared" ref="F100:F106" si="18">SUM(G100:I100)</f>
        <v>600</v>
      </c>
      <c r="G100" s="7"/>
      <c r="H100" s="7"/>
      <c r="I100" s="7">
        <v>600</v>
      </c>
      <c r="J100" s="14"/>
      <c r="K100" s="239" t="s">
        <v>132</v>
      </c>
    </row>
    <row r="101" spans="1:36" ht="15" x14ac:dyDescent="0.25">
      <c r="A101" s="337"/>
      <c r="B101" s="316"/>
      <c r="C101" s="254"/>
      <c r="D101" s="240"/>
      <c r="E101" s="222">
        <v>2016</v>
      </c>
      <c r="F101" s="7">
        <f t="shared" si="18"/>
        <v>700</v>
      </c>
      <c r="G101" s="7"/>
      <c r="H101" s="7"/>
      <c r="I101" s="7">
        <v>700</v>
      </c>
      <c r="J101" s="14"/>
      <c r="K101" s="240"/>
    </row>
    <row r="102" spans="1:36" ht="15" x14ac:dyDescent="0.25">
      <c r="A102" s="337"/>
      <c r="B102" s="316"/>
      <c r="C102" s="254"/>
      <c r="D102" s="240"/>
      <c r="E102" s="222">
        <v>2017</v>
      </c>
      <c r="F102" s="7">
        <f t="shared" si="18"/>
        <v>0</v>
      </c>
      <c r="G102" s="7"/>
      <c r="H102" s="7"/>
      <c r="I102" s="7">
        <v>0</v>
      </c>
      <c r="J102" s="14"/>
      <c r="K102" s="240"/>
    </row>
    <row r="103" spans="1:36" ht="15" x14ac:dyDescent="0.25">
      <c r="A103" s="337"/>
      <c r="B103" s="316"/>
      <c r="C103" s="254"/>
      <c r="D103" s="240"/>
      <c r="E103" s="222">
        <v>2018</v>
      </c>
      <c r="F103" s="7">
        <f t="shared" si="18"/>
        <v>400</v>
      </c>
      <c r="G103" s="7"/>
      <c r="H103" s="7"/>
      <c r="I103" s="7">
        <v>400</v>
      </c>
      <c r="J103" s="14"/>
      <c r="K103" s="240"/>
      <c r="L103" s="99"/>
      <c r="M103" s="99"/>
    </row>
    <row r="104" spans="1:36" ht="15" x14ac:dyDescent="0.25">
      <c r="A104" s="337"/>
      <c r="B104" s="316"/>
      <c r="C104" s="254"/>
      <c r="D104" s="240"/>
      <c r="E104" s="222">
        <v>2019</v>
      </c>
      <c r="F104" s="7">
        <v>0</v>
      </c>
      <c r="G104" s="7"/>
      <c r="H104" s="7"/>
      <c r="I104" s="7">
        <f>1000-1000</f>
        <v>0</v>
      </c>
      <c r="J104" s="14"/>
      <c r="K104" s="240"/>
      <c r="L104" s="99"/>
    </row>
    <row r="105" spans="1:36" ht="15" x14ac:dyDescent="0.25">
      <c r="A105" s="337"/>
      <c r="B105" s="316"/>
      <c r="C105" s="254"/>
      <c r="D105" s="240"/>
      <c r="E105" s="222">
        <v>2020</v>
      </c>
      <c r="F105" s="7">
        <f t="shared" si="18"/>
        <v>0</v>
      </c>
      <c r="G105" s="7"/>
      <c r="H105" s="7"/>
      <c r="I105" s="7">
        <v>0</v>
      </c>
      <c r="J105" s="14"/>
      <c r="K105" s="240"/>
    </row>
    <row r="106" spans="1:36" ht="14.25" x14ac:dyDescent="0.2">
      <c r="A106" s="337"/>
      <c r="B106" s="327"/>
      <c r="C106" s="282"/>
      <c r="D106" s="241"/>
      <c r="E106" s="18" t="s">
        <v>18</v>
      </c>
      <c r="F106" s="8">
        <f t="shared" si="18"/>
        <v>1700</v>
      </c>
      <c r="G106" s="8"/>
      <c r="H106" s="8"/>
      <c r="I106" s="8">
        <f>SUM(I100:I105)</f>
        <v>1700</v>
      </c>
      <c r="J106" s="14"/>
      <c r="K106" s="241"/>
    </row>
    <row r="107" spans="1:36" ht="14.25" x14ac:dyDescent="0.2">
      <c r="A107" s="368" t="s">
        <v>31</v>
      </c>
      <c r="B107" s="393"/>
      <c r="C107" s="393"/>
      <c r="D107" s="368"/>
      <c r="E107" s="368"/>
      <c r="F107" s="368"/>
      <c r="G107" s="368"/>
      <c r="H107" s="368"/>
      <c r="I107" s="368"/>
      <c r="J107" s="368"/>
      <c r="K107" s="368"/>
    </row>
    <row r="108" spans="1:36" x14ac:dyDescent="0.2">
      <c r="A108" s="337" t="s">
        <v>267</v>
      </c>
      <c r="B108" s="288" t="s">
        <v>32</v>
      </c>
      <c r="C108" s="296" t="s">
        <v>123</v>
      </c>
      <c r="D108" s="239" t="s">
        <v>207</v>
      </c>
      <c r="E108" s="222">
        <v>2015</v>
      </c>
      <c r="F108" s="14">
        <f t="shared" ref="F108:F113" si="19">SUM(G108:I108)</f>
        <v>0</v>
      </c>
      <c r="G108" s="14"/>
      <c r="H108" s="14"/>
      <c r="I108" s="14">
        <v>0</v>
      </c>
      <c r="J108" s="14"/>
      <c r="K108" s="239" t="s">
        <v>132</v>
      </c>
    </row>
    <row r="109" spans="1:36" x14ac:dyDescent="0.2">
      <c r="A109" s="337"/>
      <c r="B109" s="305"/>
      <c r="C109" s="254"/>
      <c r="D109" s="240"/>
      <c r="E109" s="222">
        <v>2016</v>
      </c>
      <c r="F109" s="14">
        <f t="shared" si="19"/>
        <v>0</v>
      </c>
      <c r="G109" s="14"/>
      <c r="H109" s="14"/>
      <c r="I109" s="14">
        <v>0</v>
      </c>
      <c r="J109" s="14"/>
      <c r="K109" s="240"/>
    </row>
    <row r="110" spans="1:36" x14ac:dyDescent="0.2">
      <c r="A110" s="337"/>
      <c r="B110" s="305"/>
      <c r="C110" s="254"/>
      <c r="D110" s="240"/>
      <c r="E110" s="222">
        <v>2017</v>
      </c>
      <c r="F110" s="14">
        <f t="shared" si="19"/>
        <v>0</v>
      </c>
      <c r="G110" s="14"/>
      <c r="H110" s="14"/>
      <c r="I110" s="14">
        <v>0</v>
      </c>
      <c r="J110" s="14"/>
      <c r="K110" s="240"/>
    </row>
    <row r="111" spans="1:36" x14ac:dyDescent="0.2">
      <c r="A111" s="337"/>
      <c r="B111" s="305"/>
      <c r="C111" s="254"/>
      <c r="D111" s="240"/>
      <c r="E111" s="222">
        <v>2018</v>
      </c>
      <c r="F111" s="14">
        <f t="shared" si="19"/>
        <v>0</v>
      </c>
      <c r="G111" s="14"/>
      <c r="H111" s="14"/>
      <c r="I111" s="14">
        <f>176.7-176.7</f>
        <v>0</v>
      </c>
      <c r="J111" s="14"/>
      <c r="K111" s="240"/>
      <c r="L111" s="99"/>
      <c r="M111" s="99"/>
    </row>
    <row r="112" spans="1:36" x14ac:dyDescent="0.2">
      <c r="A112" s="337"/>
      <c r="B112" s="305"/>
      <c r="C112" s="254"/>
      <c r="D112" s="240"/>
      <c r="E112" s="222">
        <v>2019</v>
      </c>
      <c r="F112" s="14">
        <f t="shared" si="19"/>
        <v>0</v>
      </c>
      <c r="G112" s="14"/>
      <c r="H112" s="14"/>
      <c r="I112" s="14">
        <f>202-202</f>
        <v>0</v>
      </c>
      <c r="J112" s="14"/>
      <c r="K112" s="240"/>
      <c r="L112" s="99"/>
      <c r="M112" s="127"/>
      <c r="N112" s="99"/>
    </row>
    <row r="113" spans="1:36" x14ac:dyDescent="0.2">
      <c r="A113" s="337"/>
      <c r="B113" s="305"/>
      <c r="C113" s="254"/>
      <c r="D113" s="240"/>
      <c r="E113" s="222">
        <v>2020</v>
      </c>
      <c r="F113" s="14">
        <f t="shared" si="19"/>
        <v>0</v>
      </c>
      <c r="G113" s="14"/>
      <c r="H113" s="14"/>
      <c r="I113" s="14">
        <v>0</v>
      </c>
      <c r="J113" s="14"/>
      <c r="K113" s="240"/>
      <c r="L113" s="99"/>
    </row>
    <row r="114" spans="1:36" x14ac:dyDescent="0.2">
      <c r="A114" s="337"/>
      <c r="B114" s="305"/>
      <c r="C114" s="282"/>
      <c r="D114" s="241"/>
      <c r="E114" s="18" t="s">
        <v>18</v>
      </c>
      <c r="F114" s="13">
        <f>SUM(F108:F113)</f>
        <v>0</v>
      </c>
      <c r="G114" s="13"/>
      <c r="H114" s="13"/>
      <c r="I114" s="13">
        <f>SUM(I108:I113)</f>
        <v>0</v>
      </c>
      <c r="J114" s="14"/>
      <c r="K114" s="241"/>
      <c r="P114" s="99"/>
    </row>
    <row r="115" spans="1:36" ht="20.25" customHeight="1" x14ac:dyDescent="0.25">
      <c r="A115" s="378" t="s">
        <v>194</v>
      </c>
      <c r="B115" s="379"/>
      <c r="C115" s="380"/>
      <c r="D115" s="381"/>
      <c r="E115" s="34"/>
      <c r="F115" s="144">
        <f>SUM(G115:I115)</f>
        <v>776859.09999999986</v>
      </c>
      <c r="G115" s="144"/>
      <c r="H115" s="144">
        <f>H114+H106+H98+H81+H48+H20</f>
        <v>413465.1</v>
      </c>
      <c r="I115" s="144">
        <f>I114+I106+I98+I81+I48+I20</f>
        <v>363393.99999999994</v>
      </c>
      <c r="J115" s="21"/>
      <c r="K115" s="34"/>
      <c r="L115" s="117"/>
      <c r="M115" s="99"/>
      <c r="N115" s="117"/>
      <c r="O115" s="118"/>
      <c r="P115" s="139"/>
      <c r="Q115" s="118"/>
      <c r="R115" s="107"/>
    </row>
    <row r="116" spans="1:36" ht="16.5" thickBot="1" x14ac:dyDescent="0.3">
      <c r="A116" s="382" t="s">
        <v>176</v>
      </c>
      <c r="B116" s="383"/>
      <c r="C116" s="383"/>
      <c r="D116" s="383"/>
      <c r="E116" s="383"/>
      <c r="F116" s="383"/>
      <c r="G116" s="383"/>
      <c r="H116" s="383"/>
      <c r="I116" s="383"/>
      <c r="J116" s="383"/>
      <c r="K116" s="383"/>
      <c r="L116" s="120"/>
      <c r="M116" s="120"/>
      <c r="N116" s="28"/>
      <c r="O116" s="28"/>
      <c r="P116" s="28"/>
      <c r="Q116" s="28"/>
      <c r="R116" s="120"/>
      <c r="S116" s="120"/>
      <c r="T116" s="120"/>
      <c r="U116" s="120"/>
      <c r="V116" s="120"/>
      <c r="W116" s="119"/>
      <c r="X116" s="210"/>
      <c r="Y116" s="210"/>
      <c r="Z116" s="210"/>
      <c r="AA116" s="210"/>
      <c r="AB116" s="210"/>
      <c r="AC116" s="210"/>
      <c r="AD116" s="210"/>
      <c r="AE116" s="210"/>
      <c r="AF116" s="210"/>
      <c r="AG116" s="210"/>
      <c r="AH116" s="210"/>
      <c r="AI116" s="210"/>
      <c r="AJ116" s="210"/>
    </row>
    <row r="117" spans="1:36" ht="44.25" customHeight="1" thickBot="1" x14ac:dyDescent="0.25">
      <c r="A117" s="257" t="s">
        <v>221</v>
      </c>
      <c r="B117" s="384"/>
      <c r="C117" s="384"/>
      <c r="D117" s="384"/>
      <c r="E117" s="384"/>
      <c r="F117" s="384"/>
      <c r="G117" s="384"/>
      <c r="H117" s="384"/>
      <c r="I117" s="384"/>
      <c r="J117" s="384"/>
      <c r="K117" s="385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</row>
    <row r="118" spans="1:36" x14ac:dyDescent="0.2">
      <c r="A118" s="337" t="s">
        <v>64</v>
      </c>
      <c r="B118" s="386" t="s">
        <v>33</v>
      </c>
      <c r="C118" s="388" t="s">
        <v>123</v>
      </c>
      <c r="D118" s="390" t="s">
        <v>389</v>
      </c>
      <c r="E118" s="222">
        <v>2015</v>
      </c>
      <c r="F118" s="222"/>
      <c r="G118" s="222"/>
      <c r="H118" s="222"/>
      <c r="I118" s="222"/>
      <c r="J118" s="222"/>
      <c r="K118" s="392" t="s">
        <v>34</v>
      </c>
    </row>
    <row r="119" spans="1:36" x14ac:dyDescent="0.2">
      <c r="A119" s="337"/>
      <c r="B119" s="387"/>
      <c r="C119" s="389"/>
      <c r="D119" s="391"/>
      <c r="E119" s="222">
        <v>2016</v>
      </c>
      <c r="F119" s="222"/>
      <c r="G119" s="222"/>
      <c r="H119" s="222"/>
      <c r="I119" s="222"/>
      <c r="J119" s="222"/>
      <c r="K119" s="240"/>
    </row>
    <row r="120" spans="1:36" x14ac:dyDescent="0.2">
      <c r="A120" s="337"/>
      <c r="B120" s="387"/>
      <c r="C120" s="389"/>
      <c r="D120" s="391"/>
      <c r="E120" s="222">
        <v>2017</v>
      </c>
      <c r="F120" s="222"/>
      <c r="G120" s="222"/>
      <c r="H120" s="222"/>
      <c r="I120" s="222"/>
      <c r="J120" s="222"/>
      <c r="K120" s="240"/>
      <c r="L120" s="99"/>
    </row>
    <row r="121" spans="1:36" x14ac:dyDescent="0.2">
      <c r="A121" s="337"/>
      <c r="B121" s="387"/>
      <c r="C121" s="389"/>
      <c r="D121" s="391"/>
      <c r="E121" s="222">
        <v>2018</v>
      </c>
      <c r="F121" s="222"/>
      <c r="G121" s="222"/>
      <c r="H121" s="222"/>
      <c r="I121" s="222"/>
      <c r="J121" s="222"/>
      <c r="K121" s="240"/>
    </row>
    <row r="122" spans="1:36" x14ac:dyDescent="0.2">
      <c r="A122" s="337"/>
      <c r="B122" s="387"/>
      <c r="C122" s="389"/>
      <c r="D122" s="391"/>
      <c r="E122" s="222">
        <v>2019</v>
      </c>
      <c r="F122" s="222"/>
      <c r="G122" s="222"/>
      <c r="H122" s="222"/>
      <c r="I122" s="222"/>
      <c r="J122" s="222"/>
      <c r="K122" s="240"/>
    </row>
    <row r="123" spans="1:36" x14ac:dyDescent="0.2">
      <c r="A123" s="337"/>
      <c r="B123" s="387"/>
      <c r="C123" s="389"/>
      <c r="D123" s="391"/>
      <c r="E123" s="222">
        <v>2020</v>
      </c>
      <c r="F123" s="222"/>
      <c r="G123" s="222"/>
      <c r="H123" s="222"/>
      <c r="I123" s="222"/>
      <c r="J123" s="222"/>
      <c r="K123" s="240"/>
    </row>
    <row r="124" spans="1:36" ht="21.75" customHeight="1" thickBot="1" x14ac:dyDescent="0.25">
      <c r="A124" s="338"/>
      <c r="B124" s="387"/>
      <c r="C124" s="389"/>
      <c r="D124" s="391"/>
      <c r="E124" s="26" t="s">
        <v>18</v>
      </c>
      <c r="F124" s="207"/>
      <c r="G124" s="207"/>
      <c r="H124" s="207"/>
      <c r="I124" s="207"/>
      <c r="J124" s="207"/>
      <c r="K124" s="240"/>
    </row>
    <row r="125" spans="1:36" ht="18" customHeight="1" thickBot="1" x14ac:dyDescent="0.25">
      <c r="A125" s="394" t="s">
        <v>197</v>
      </c>
      <c r="B125" s="395"/>
      <c r="C125" s="395"/>
      <c r="D125" s="395"/>
      <c r="E125" s="396"/>
      <c r="F125" s="397" t="s">
        <v>35</v>
      </c>
      <c r="G125" s="398"/>
      <c r="H125" s="398"/>
      <c r="I125" s="398"/>
      <c r="J125" s="399"/>
      <c r="K125" s="98"/>
    </row>
    <row r="126" spans="1:36" x14ac:dyDescent="0.2">
      <c r="A126" s="400" t="s">
        <v>36</v>
      </c>
      <c r="B126" s="401"/>
      <c r="C126" s="401"/>
      <c r="D126" s="401"/>
      <c r="E126" s="401"/>
      <c r="F126" s="401"/>
      <c r="G126" s="401"/>
      <c r="H126" s="401"/>
      <c r="I126" s="401"/>
      <c r="J126" s="401"/>
      <c r="K126" s="401"/>
    </row>
    <row r="127" spans="1:36" ht="31.5" customHeight="1" x14ac:dyDescent="0.2">
      <c r="A127" s="317" t="s">
        <v>37</v>
      </c>
      <c r="B127" s="320"/>
      <c r="C127" s="320"/>
      <c r="D127" s="320"/>
      <c r="E127" s="320"/>
      <c r="F127" s="320"/>
      <c r="G127" s="320"/>
      <c r="H127" s="320"/>
      <c r="I127" s="320"/>
      <c r="J127" s="320"/>
      <c r="K127" s="320"/>
      <c r="L127" s="212"/>
      <c r="M127" s="212"/>
      <c r="N127" s="212"/>
      <c r="O127" s="212"/>
      <c r="P127" s="212"/>
      <c r="Q127" s="212"/>
      <c r="R127" s="212"/>
      <c r="S127" s="212"/>
      <c r="T127" s="212"/>
      <c r="U127" s="21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/>
      <c r="AF127" s="212"/>
      <c r="AG127" s="212"/>
      <c r="AH127" s="212"/>
      <c r="AI127" s="212"/>
      <c r="AJ127" s="212"/>
    </row>
    <row r="128" spans="1:36" x14ac:dyDescent="0.2">
      <c r="A128" s="341" t="s">
        <v>91</v>
      </c>
      <c r="B128" s="255" t="s">
        <v>38</v>
      </c>
      <c r="C128" s="237" t="s">
        <v>123</v>
      </c>
      <c r="D128" s="283" t="s">
        <v>207</v>
      </c>
      <c r="E128" s="208">
        <v>2015</v>
      </c>
      <c r="F128" s="208"/>
      <c r="G128" s="208"/>
      <c r="H128" s="208"/>
      <c r="I128" s="208"/>
      <c r="J128" s="208"/>
      <c r="K128" s="239" t="s">
        <v>39</v>
      </c>
    </row>
    <row r="129" spans="1:36" x14ac:dyDescent="0.2">
      <c r="A129" s="337"/>
      <c r="B129" s="320"/>
      <c r="C129" s="238"/>
      <c r="D129" s="283"/>
      <c r="E129" s="222">
        <v>2016</v>
      </c>
      <c r="F129" s="222"/>
      <c r="G129" s="222"/>
      <c r="H129" s="222"/>
      <c r="I129" s="222"/>
      <c r="J129" s="222"/>
      <c r="K129" s="240"/>
      <c r="L129" s="99"/>
    </row>
    <row r="130" spans="1:36" x14ac:dyDescent="0.2">
      <c r="A130" s="337"/>
      <c r="B130" s="320"/>
      <c r="C130" s="238"/>
      <c r="D130" s="283"/>
      <c r="E130" s="222">
        <v>2017</v>
      </c>
      <c r="F130" s="222"/>
      <c r="G130" s="222"/>
      <c r="H130" s="222"/>
      <c r="I130" s="222"/>
      <c r="J130" s="222"/>
      <c r="K130" s="240"/>
    </row>
    <row r="131" spans="1:36" x14ac:dyDescent="0.2">
      <c r="A131" s="337"/>
      <c r="B131" s="320"/>
      <c r="C131" s="238"/>
      <c r="D131" s="283"/>
      <c r="E131" s="222">
        <v>2018</v>
      </c>
      <c r="F131" s="222"/>
      <c r="G131" s="222"/>
      <c r="H131" s="222"/>
      <c r="I131" s="222"/>
      <c r="J131" s="222"/>
      <c r="K131" s="240"/>
    </row>
    <row r="132" spans="1:36" x14ac:dyDescent="0.2">
      <c r="A132" s="337"/>
      <c r="B132" s="320"/>
      <c r="C132" s="238"/>
      <c r="D132" s="283"/>
      <c r="E132" s="222">
        <v>2019</v>
      </c>
      <c r="F132" s="222"/>
      <c r="G132" s="222"/>
      <c r="H132" s="222"/>
      <c r="I132" s="222"/>
      <c r="J132" s="222"/>
      <c r="K132" s="240"/>
    </row>
    <row r="133" spans="1:36" x14ac:dyDescent="0.2">
      <c r="A133" s="337"/>
      <c r="B133" s="320"/>
      <c r="C133" s="238"/>
      <c r="D133" s="283"/>
      <c r="E133" s="222">
        <v>2020</v>
      </c>
      <c r="F133" s="222"/>
      <c r="G133" s="222"/>
      <c r="H133" s="222"/>
      <c r="I133" s="222"/>
      <c r="J133" s="222"/>
      <c r="K133" s="240"/>
    </row>
    <row r="134" spans="1:36" ht="30" customHeight="1" x14ac:dyDescent="0.2">
      <c r="A134" s="337"/>
      <c r="B134" s="320"/>
      <c r="C134" s="238"/>
      <c r="D134" s="283"/>
      <c r="E134" s="18" t="s">
        <v>18</v>
      </c>
      <c r="F134" s="222"/>
      <c r="G134" s="222"/>
      <c r="H134" s="222"/>
      <c r="I134" s="222"/>
      <c r="J134" s="222"/>
      <c r="K134" s="241"/>
    </row>
    <row r="135" spans="1:36" x14ac:dyDescent="0.2">
      <c r="A135" s="337" t="s">
        <v>67</v>
      </c>
      <c r="B135" s="235" t="s">
        <v>40</v>
      </c>
      <c r="C135" s="237" t="s">
        <v>123</v>
      </c>
      <c r="D135" s="283" t="s">
        <v>207</v>
      </c>
      <c r="E135" s="222">
        <v>2015</v>
      </c>
      <c r="F135" s="222"/>
      <c r="G135" s="222"/>
      <c r="H135" s="222"/>
      <c r="I135" s="222"/>
      <c r="J135" s="222"/>
      <c r="K135" s="239" t="s">
        <v>41</v>
      </c>
    </row>
    <row r="136" spans="1:36" x14ac:dyDescent="0.2">
      <c r="A136" s="337"/>
      <c r="B136" s="320"/>
      <c r="C136" s="238"/>
      <c r="D136" s="283"/>
      <c r="E136" s="222">
        <v>2016</v>
      </c>
      <c r="F136" s="222"/>
      <c r="G136" s="222"/>
      <c r="H136" s="222"/>
      <c r="I136" s="222"/>
      <c r="J136" s="222"/>
      <c r="K136" s="240"/>
      <c r="L136" s="99"/>
    </row>
    <row r="137" spans="1:36" x14ac:dyDescent="0.2">
      <c r="A137" s="337"/>
      <c r="B137" s="320"/>
      <c r="C137" s="238"/>
      <c r="D137" s="283"/>
      <c r="E137" s="222">
        <v>2017</v>
      </c>
      <c r="F137" s="222"/>
      <c r="G137" s="222"/>
      <c r="H137" s="222"/>
      <c r="I137" s="222"/>
      <c r="J137" s="222"/>
      <c r="K137" s="240"/>
    </row>
    <row r="138" spans="1:36" x14ac:dyDescent="0.2">
      <c r="A138" s="337"/>
      <c r="B138" s="320"/>
      <c r="C138" s="238"/>
      <c r="D138" s="283"/>
      <c r="E138" s="222">
        <v>2018</v>
      </c>
      <c r="F138" s="222"/>
      <c r="G138" s="222"/>
      <c r="H138" s="222"/>
      <c r="I138" s="222"/>
      <c r="J138" s="222"/>
      <c r="K138" s="240"/>
    </row>
    <row r="139" spans="1:36" x14ac:dyDescent="0.2">
      <c r="A139" s="337"/>
      <c r="B139" s="320"/>
      <c r="C139" s="238"/>
      <c r="D139" s="283"/>
      <c r="E139" s="222">
        <v>2019</v>
      </c>
      <c r="F139" s="222"/>
      <c r="G139" s="222"/>
      <c r="H139" s="222"/>
      <c r="I139" s="222"/>
      <c r="J139" s="222"/>
      <c r="K139" s="240"/>
    </row>
    <row r="140" spans="1:36" x14ac:dyDescent="0.2">
      <c r="A140" s="337"/>
      <c r="B140" s="320"/>
      <c r="C140" s="238"/>
      <c r="D140" s="283"/>
      <c r="E140" s="222">
        <v>2020</v>
      </c>
      <c r="F140" s="222"/>
      <c r="G140" s="222"/>
      <c r="H140" s="222"/>
      <c r="I140" s="222"/>
      <c r="J140" s="222"/>
      <c r="K140" s="240"/>
    </row>
    <row r="141" spans="1:36" ht="58.5" customHeight="1" x14ac:dyDescent="0.2">
      <c r="A141" s="338"/>
      <c r="B141" s="287"/>
      <c r="C141" s="238"/>
      <c r="D141" s="283"/>
      <c r="E141" s="26" t="s">
        <v>18</v>
      </c>
      <c r="F141" s="207"/>
      <c r="G141" s="207"/>
      <c r="H141" s="207"/>
      <c r="I141" s="207"/>
      <c r="J141" s="207"/>
      <c r="K141" s="241"/>
    </row>
    <row r="142" spans="1:36" ht="32.25" customHeight="1" x14ac:dyDescent="0.2">
      <c r="A142" s="317" t="s">
        <v>42</v>
      </c>
      <c r="B142" s="320"/>
      <c r="C142" s="320"/>
      <c r="D142" s="320"/>
      <c r="E142" s="320"/>
      <c r="F142" s="320"/>
      <c r="G142" s="320"/>
      <c r="H142" s="320"/>
      <c r="I142" s="320"/>
      <c r="J142" s="320"/>
      <c r="K142" s="320"/>
      <c r="L142" s="212"/>
      <c r="M142" s="212"/>
      <c r="N142" s="212"/>
      <c r="O142" s="212"/>
      <c r="P142" s="212"/>
      <c r="Q142" s="212"/>
      <c r="R142" s="212"/>
      <c r="S142" s="212"/>
      <c r="T142" s="212"/>
      <c r="U142" s="212"/>
      <c r="V142" s="212"/>
      <c r="W142" s="212"/>
      <c r="X142" s="212"/>
      <c r="Y142" s="212"/>
      <c r="Z142" s="212"/>
      <c r="AA142" s="212"/>
      <c r="AB142" s="212"/>
      <c r="AC142" s="212"/>
      <c r="AD142" s="212"/>
      <c r="AE142" s="212"/>
      <c r="AF142" s="212"/>
      <c r="AG142" s="212"/>
      <c r="AH142" s="212"/>
      <c r="AI142" s="212"/>
      <c r="AJ142" s="212"/>
    </row>
    <row r="143" spans="1:36" ht="15" x14ac:dyDescent="0.25">
      <c r="A143" s="317" t="s">
        <v>127</v>
      </c>
      <c r="B143" s="329"/>
      <c r="C143" s="404"/>
      <c r="D143" s="329"/>
      <c r="E143" s="329"/>
      <c r="F143" s="329"/>
      <c r="G143" s="329"/>
      <c r="H143" s="329"/>
      <c r="I143" s="329"/>
      <c r="J143" s="329"/>
      <c r="K143" s="329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/>
      <c r="AJ143" s="27"/>
    </row>
    <row r="144" spans="1:36" ht="15" x14ac:dyDescent="0.25">
      <c r="A144" s="319" t="s">
        <v>268</v>
      </c>
      <c r="B144" s="402" t="s">
        <v>44</v>
      </c>
      <c r="C144" s="237" t="s">
        <v>400</v>
      </c>
      <c r="D144" s="283" t="s">
        <v>207</v>
      </c>
      <c r="E144" s="222">
        <v>2015</v>
      </c>
      <c r="F144" s="7">
        <f t="shared" ref="F144:F149" si="20">SUM(G144:J144)</f>
        <v>289323.7</v>
      </c>
      <c r="G144" s="7"/>
      <c r="H144" s="7">
        <f>313444.2-24120.5</f>
        <v>289323.7</v>
      </c>
      <c r="I144" s="7"/>
      <c r="J144" s="14"/>
      <c r="K144" s="283" t="s">
        <v>45</v>
      </c>
    </row>
    <row r="145" spans="1:14" ht="15" x14ac:dyDescent="0.25">
      <c r="A145" s="319"/>
      <c r="B145" s="403"/>
      <c r="C145" s="238"/>
      <c r="D145" s="283"/>
      <c r="E145" s="222">
        <v>2016</v>
      </c>
      <c r="F145" s="7">
        <f t="shared" si="20"/>
        <v>292770.7</v>
      </c>
      <c r="G145" s="7"/>
      <c r="H145" s="7">
        <f>321212.7-28442</f>
        <v>292770.7</v>
      </c>
      <c r="I145" s="7"/>
      <c r="J145" s="14"/>
      <c r="K145" s="283"/>
      <c r="M145" s="99"/>
    </row>
    <row r="146" spans="1:14" ht="15" x14ac:dyDescent="0.25">
      <c r="A146" s="319"/>
      <c r="B146" s="403"/>
      <c r="C146" s="238"/>
      <c r="D146" s="283"/>
      <c r="E146" s="222">
        <v>2017</v>
      </c>
      <c r="F146" s="7">
        <f t="shared" si="20"/>
        <v>298831.10000000003</v>
      </c>
      <c r="G146" s="7"/>
      <c r="H146" s="7">
        <f>298171.7+659.4</f>
        <v>298831.10000000003</v>
      </c>
      <c r="I146" s="7"/>
      <c r="J146" s="14"/>
      <c r="K146" s="283"/>
      <c r="L146" s="99"/>
      <c r="M146" s="106"/>
    </row>
    <row r="147" spans="1:14" ht="15" x14ac:dyDescent="0.25">
      <c r="A147" s="319"/>
      <c r="B147" s="403"/>
      <c r="C147" s="238"/>
      <c r="D147" s="283"/>
      <c r="E147" s="222">
        <v>2018</v>
      </c>
      <c r="F147" s="7">
        <f t="shared" si="20"/>
        <v>341666.3</v>
      </c>
      <c r="G147" s="7"/>
      <c r="H147" s="7">
        <f>342737.6-1071.3</f>
        <v>341666.3</v>
      </c>
      <c r="I147" s="7"/>
      <c r="J147" s="14"/>
      <c r="K147" s="283"/>
      <c r="L147" s="99"/>
      <c r="M147" s="106"/>
    </row>
    <row r="148" spans="1:14" ht="15" x14ac:dyDescent="0.25">
      <c r="A148" s="319"/>
      <c r="B148" s="403"/>
      <c r="C148" s="238"/>
      <c r="D148" s="283"/>
      <c r="E148" s="222">
        <v>2019</v>
      </c>
      <c r="F148" s="7">
        <f t="shared" si="20"/>
        <v>433240.9</v>
      </c>
      <c r="G148" s="7"/>
      <c r="H148" s="7">
        <f>416246.6+4762.9+12231.4</f>
        <v>433240.9</v>
      </c>
      <c r="I148" s="7"/>
      <c r="J148" s="14"/>
      <c r="K148" s="283"/>
      <c r="L148" s="99"/>
      <c r="M148" s="106"/>
    </row>
    <row r="149" spans="1:14" ht="15" x14ac:dyDescent="0.25">
      <c r="A149" s="319"/>
      <c r="B149" s="403"/>
      <c r="C149" s="238"/>
      <c r="D149" s="283"/>
      <c r="E149" s="222">
        <v>2020</v>
      </c>
      <c r="F149" s="7">
        <f t="shared" si="20"/>
        <v>423168.9</v>
      </c>
      <c r="G149" s="7"/>
      <c r="H149" s="7">
        <f>437502.2-14333.3</f>
        <v>423168.9</v>
      </c>
      <c r="I149" s="7"/>
      <c r="J149" s="14"/>
      <c r="K149" s="283"/>
    </row>
    <row r="150" spans="1:14" ht="15" x14ac:dyDescent="0.25">
      <c r="A150" s="319"/>
      <c r="B150" s="403"/>
      <c r="C150" s="238"/>
      <c r="D150" s="283"/>
      <c r="E150" s="222">
        <v>2021</v>
      </c>
      <c r="F150" s="7">
        <f t="shared" ref="F150:F154" si="21">SUM(G150:J150)</f>
        <v>418797.4</v>
      </c>
      <c r="G150" s="7"/>
      <c r="H150" s="7">
        <f>457835.2-39037.8</f>
        <v>418797.4</v>
      </c>
      <c r="I150" s="7"/>
      <c r="J150" s="14"/>
      <c r="K150" s="283"/>
    </row>
    <row r="151" spans="1:14" ht="15" x14ac:dyDescent="0.25">
      <c r="A151" s="319"/>
      <c r="B151" s="403"/>
      <c r="C151" s="238"/>
      <c r="D151" s="283"/>
      <c r="E151" s="222">
        <v>2022</v>
      </c>
      <c r="F151" s="7">
        <f t="shared" si="21"/>
        <v>436353.3</v>
      </c>
      <c r="G151" s="7"/>
      <c r="H151" s="7">
        <f>502000-65646.7</f>
        <v>436353.3</v>
      </c>
      <c r="I151" s="7"/>
      <c r="J151" s="14"/>
      <c r="K151" s="283"/>
      <c r="M151" s="99"/>
    </row>
    <row r="152" spans="1:14" ht="15" x14ac:dyDescent="0.25">
      <c r="A152" s="319"/>
      <c r="B152" s="403"/>
      <c r="C152" s="238"/>
      <c r="D152" s="283"/>
      <c r="E152" s="222">
        <v>2023</v>
      </c>
      <c r="F152" s="7">
        <f t="shared" si="21"/>
        <v>525092</v>
      </c>
      <c r="G152" s="7"/>
      <c r="H152" s="7">
        <v>525092</v>
      </c>
      <c r="I152" s="7"/>
      <c r="J152" s="14"/>
      <c r="K152" s="283"/>
      <c r="L152" s="99"/>
      <c r="M152" s="106"/>
    </row>
    <row r="153" spans="1:14" ht="15" x14ac:dyDescent="0.25">
      <c r="A153" s="319"/>
      <c r="B153" s="403"/>
      <c r="C153" s="238"/>
      <c r="D153" s="283"/>
      <c r="E153" s="222">
        <v>2024</v>
      </c>
      <c r="F153" s="7">
        <f t="shared" si="21"/>
        <v>549246.19999999995</v>
      </c>
      <c r="G153" s="7"/>
      <c r="H153" s="7">
        <v>549246.19999999995</v>
      </c>
      <c r="I153" s="7"/>
      <c r="J153" s="14"/>
      <c r="K153" s="283"/>
      <c r="L153" s="99"/>
      <c r="M153" s="106"/>
    </row>
    <row r="154" spans="1:14" ht="15" x14ac:dyDescent="0.25">
      <c r="A154" s="319"/>
      <c r="B154" s="403"/>
      <c r="C154" s="238"/>
      <c r="D154" s="283"/>
      <c r="E154" s="222">
        <v>2025</v>
      </c>
      <c r="F154" s="7">
        <f t="shared" si="21"/>
        <v>574511.5</v>
      </c>
      <c r="G154" s="7"/>
      <c r="H154" s="7">
        <v>574511.5</v>
      </c>
      <c r="I154" s="7"/>
      <c r="J154" s="14"/>
      <c r="K154" s="283"/>
      <c r="L154" s="99"/>
      <c r="M154" s="106"/>
    </row>
    <row r="155" spans="1:14" ht="26.25" customHeight="1" x14ac:dyDescent="0.2">
      <c r="A155" s="319"/>
      <c r="B155" s="403"/>
      <c r="C155" s="238"/>
      <c r="D155" s="283"/>
      <c r="E155" s="18" t="s">
        <v>18</v>
      </c>
      <c r="F155" s="8">
        <f>SUM(F144:F154)</f>
        <v>4583002</v>
      </c>
      <c r="G155" s="8"/>
      <c r="H155" s="8">
        <f>SUM(H144:H154)</f>
        <v>4583002</v>
      </c>
      <c r="I155" s="8"/>
      <c r="J155" s="13"/>
      <c r="K155" s="283"/>
    </row>
    <row r="156" spans="1:14" ht="15" x14ac:dyDescent="0.25">
      <c r="A156" s="319" t="s">
        <v>46</v>
      </c>
      <c r="B156" s="402" t="s">
        <v>47</v>
      </c>
      <c r="C156" s="237" t="s">
        <v>400</v>
      </c>
      <c r="D156" s="283" t="s">
        <v>207</v>
      </c>
      <c r="E156" s="222">
        <v>2015</v>
      </c>
      <c r="F156" s="7">
        <f t="shared" ref="F156:F161" si="22">SUM(G156:J156)</f>
        <v>51438.500000000007</v>
      </c>
      <c r="G156" s="7"/>
      <c r="H156" s="7"/>
      <c r="I156" s="7">
        <f>54650+6257.8-2384.6-2000-2408.2-401.3-516.2-1759</f>
        <v>51438.500000000007</v>
      </c>
      <c r="J156" s="14"/>
      <c r="K156" s="283"/>
    </row>
    <row r="157" spans="1:14" ht="15" x14ac:dyDescent="0.25">
      <c r="A157" s="319"/>
      <c r="B157" s="403"/>
      <c r="C157" s="238"/>
      <c r="D157" s="283"/>
      <c r="E157" s="222">
        <v>2016</v>
      </c>
      <c r="F157" s="7">
        <f t="shared" si="22"/>
        <v>51482.5</v>
      </c>
      <c r="G157" s="7"/>
      <c r="H157" s="7"/>
      <c r="I157" s="7">
        <f>57382.5-5400-500</f>
        <v>51482.5</v>
      </c>
      <c r="J157" s="14"/>
      <c r="K157" s="283"/>
    </row>
    <row r="158" spans="1:14" ht="15" x14ac:dyDescent="0.25">
      <c r="A158" s="319"/>
      <c r="B158" s="403"/>
      <c r="C158" s="238"/>
      <c r="D158" s="283"/>
      <c r="E158" s="222">
        <v>2017</v>
      </c>
      <c r="F158" s="7">
        <f t="shared" si="22"/>
        <v>51797.700000000004</v>
      </c>
      <c r="G158" s="7"/>
      <c r="H158" s="7"/>
      <c r="I158" s="7">
        <f>48417.9+4379.8-1000</f>
        <v>51797.700000000004</v>
      </c>
      <c r="J158" s="14"/>
      <c r="K158" s="283"/>
      <c r="L158" s="99">
        <v>4379.8</v>
      </c>
      <c r="M158" s="106" t="s">
        <v>316</v>
      </c>
      <c r="N158" s="99"/>
    </row>
    <row r="159" spans="1:14" ht="15" x14ac:dyDescent="0.25">
      <c r="A159" s="319"/>
      <c r="B159" s="403"/>
      <c r="C159" s="238"/>
      <c r="D159" s="283"/>
      <c r="E159" s="222">
        <v>2018</v>
      </c>
      <c r="F159" s="7">
        <f t="shared" si="22"/>
        <v>68754.5</v>
      </c>
      <c r="G159" s="7"/>
      <c r="H159" s="7"/>
      <c r="I159" s="7">
        <f>61693.8+7060.7</f>
        <v>68754.5</v>
      </c>
      <c r="J159" s="14"/>
      <c r="K159" s="283"/>
      <c r="L159" s="99"/>
      <c r="M159" s="106"/>
    </row>
    <row r="160" spans="1:14" ht="15" x14ac:dyDescent="0.25">
      <c r="A160" s="319"/>
      <c r="B160" s="403"/>
      <c r="C160" s="238"/>
      <c r="D160" s="283"/>
      <c r="E160" s="222">
        <v>2019</v>
      </c>
      <c r="F160" s="7">
        <f t="shared" si="22"/>
        <v>80962.599999999991</v>
      </c>
      <c r="G160" s="7"/>
      <c r="H160" s="7"/>
      <c r="I160" s="7">
        <f>78453+3831.2-1321.6</f>
        <v>80962.599999999991</v>
      </c>
      <c r="J160" s="14"/>
      <c r="K160" s="283"/>
      <c r="L160" s="99"/>
      <c r="M160" s="106"/>
    </row>
    <row r="161" spans="1:14" ht="15" x14ac:dyDescent="0.25">
      <c r="A161" s="319"/>
      <c r="B161" s="403"/>
      <c r="C161" s="238"/>
      <c r="D161" s="283"/>
      <c r="E161" s="222">
        <v>2020</v>
      </c>
      <c r="F161" s="7">
        <f t="shared" si="22"/>
        <v>80924.200000000012</v>
      </c>
      <c r="G161" s="7"/>
      <c r="H161" s="7"/>
      <c r="I161" s="7">
        <f>78453-44718.2+47189.4</f>
        <v>80924.200000000012</v>
      </c>
      <c r="J161" s="14"/>
      <c r="K161" s="283"/>
    </row>
    <row r="162" spans="1:14" ht="15" x14ac:dyDescent="0.25">
      <c r="A162" s="319"/>
      <c r="B162" s="403"/>
      <c r="C162" s="238"/>
      <c r="D162" s="283"/>
      <c r="E162" s="222">
        <v>2021</v>
      </c>
      <c r="F162" s="7">
        <f t="shared" ref="F162:F165" si="23">SUM(G162:J162)</f>
        <v>84747.4</v>
      </c>
      <c r="G162" s="7"/>
      <c r="H162" s="7"/>
      <c r="I162" s="7">
        <f>78453-44718.2+51012.6</f>
        <v>84747.4</v>
      </c>
      <c r="J162" s="14"/>
      <c r="K162" s="283"/>
    </row>
    <row r="163" spans="1:14" ht="15" x14ac:dyDescent="0.25">
      <c r="A163" s="319"/>
      <c r="B163" s="403"/>
      <c r="C163" s="238"/>
      <c r="D163" s="283"/>
      <c r="E163" s="222">
        <v>2022</v>
      </c>
      <c r="F163" s="7">
        <f t="shared" si="23"/>
        <v>73985</v>
      </c>
      <c r="G163" s="7"/>
      <c r="H163" s="7"/>
      <c r="I163" s="7">
        <f>81591.1-7606.1</f>
        <v>73985</v>
      </c>
      <c r="J163" s="14"/>
      <c r="K163" s="283"/>
      <c r="L163" s="99">
        <v>4379.8</v>
      </c>
      <c r="M163" s="106" t="s">
        <v>316</v>
      </c>
      <c r="N163" s="99"/>
    </row>
    <row r="164" spans="1:14" ht="15" x14ac:dyDescent="0.25">
      <c r="A164" s="319"/>
      <c r="B164" s="403"/>
      <c r="C164" s="238"/>
      <c r="D164" s="283"/>
      <c r="E164" s="222">
        <v>2023</v>
      </c>
      <c r="F164" s="7">
        <f t="shared" si="23"/>
        <v>84854.7</v>
      </c>
      <c r="G164" s="7"/>
      <c r="H164" s="7"/>
      <c r="I164" s="7">
        <v>84854.7</v>
      </c>
      <c r="J164" s="14"/>
      <c r="K164" s="283"/>
      <c r="L164" s="99"/>
      <c r="M164" s="106"/>
    </row>
    <row r="165" spans="1:14" ht="15" x14ac:dyDescent="0.25">
      <c r="A165" s="319"/>
      <c r="B165" s="403"/>
      <c r="C165" s="238"/>
      <c r="D165" s="283"/>
      <c r="E165" s="222">
        <v>2024</v>
      </c>
      <c r="F165" s="7">
        <f t="shared" si="23"/>
        <v>88248.9</v>
      </c>
      <c r="G165" s="7"/>
      <c r="H165" s="7"/>
      <c r="I165" s="7">
        <v>88248.9</v>
      </c>
      <c r="J165" s="14"/>
      <c r="K165" s="283"/>
      <c r="L165" s="99"/>
      <c r="M165" s="106"/>
    </row>
    <row r="166" spans="1:14" ht="15" x14ac:dyDescent="0.25">
      <c r="A166" s="319"/>
      <c r="B166" s="403"/>
      <c r="C166" s="238"/>
      <c r="D166" s="283"/>
      <c r="E166" s="222">
        <v>2025</v>
      </c>
      <c r="F166" s="7">
        <f t="shared" ref="F166" si="24">SUM(G166:J166)</f>
        <v>91778.9</v>
      </c>
      <c r="G166" s="7"/>
      <c r="H166" s="7"/>
      <c r="I166" s="7">
        <v>91778.9</v>
      </c>
      <c r="J166" s="14"/>
      <c r="K166" s="283"/>
      <c r="L166" s="99"/>
      <c r="M166" s="106"/>
    </row>
    <row r="167" spans="1:14" ht="47.25" customHeight="1" x14ac:dyDescent="0.2">
      <c r="A167" s="319"/>
      <c r="B167" s="403"/>
      <c r="C167" s="238"/>
      <c r="D167" s="283"/>
      <c r="E167" s="18" t="s">
        <v>18</v>
      </c>
      <c r="F167" s="8">
        <f>SUM(F156:F166)</f>
        <v>808974.9</v>
      </c>
      <c r="G167" s="8"/>
      <c r="H167" s="8"/>
      <c r="I167" s="8">
        <f>SUM(I156:I166)</f>
        <v>808974.9</v>
      </c>
      <c r="J167" s="13"/>
      <c r="K167" s="283"/>
    </row>
    <row r="168" spans="1:14" x14ac:dyDescent="0.2">
      <c r="A168" s="337" t="s">
        <v>48</v>
      </c>
      <c r="B168" s="288" t="s">
        <v>49</v>
      </c>
      <c r="C168" s="237" t="s">
        <v>123</v>
      </c>
      <c r="D168" s="346" t="s">
        <v>207</v>
      </c>
      <c r="E168" s="222">
        <v>2015</v>
      </c>
      <c r="F168" s="2"/>
      <c r="G168" s="2"/>
      <c r="H168" s="2"/>
      <c r="I168" s="2"/>
      <c r="J168" s="2"/>
      <c r="K168" s="239" t="s">
        <v>50</v>
      </c>
    </row>
    <row r="169" spans="1:14" x14ac:dyDescent="0.2">
      <c r="A169" s="337"/>
      <c r="B169" s="305"/>
      <c r="C169" s="238"/>
      <c r="D169" s="347"/>
      <c r="E169" s="222">
        <v>2016</v>
      </c>
      <c r="F169" s="2"/>
      <c r="G169" s="2"/>
      <c r="H169" s="2"/>
      <c r="I169" s="2"/>
      <c r="J169" s="2"/>
      <c r="K169" s="240"/>
    </row>
    <row r="170" spans="1:14" x14ac:dyDescent="0.2">
      <c r="A170" s="337"/>
      <c r="B170" s="305"/>
      <c r="C170" s="238"/>
      <c r="D170" s="347"/>
      <c r="E170" s="222">
        <v>2017</v>
      </c>
      <c r="F170" s="2"/>
      <c r="G170" s="2"/>
      <c r="H170" s="2"/>
      <c r="I170" s="2"/>
      <c r="J170" s="2"/>
      <c r="K170" s="240"/>
    </row>
    <row r="171" spans="1:14" x14ac:dyDescent="0.2">
      <c r="A171" s="337"/>
      <c r="B171" s="305"/>
      <c r="C171" s="238"/>
      <c r="D171" s="347"/>
      <c r="E171" s="222">
        <v>2018</v>
      </c>
      <c r="F171" s="2"/>
      <c r="G171" s="2"/>
      <c r="H171" s="2"/>
      <c r="I171" s="2"/>
      <c r="J171" s="2"/>
      <c r="K171" s="240"/>
    </row>
    <row r="172" spans="1:14" x14ac:dyDescent="0.2">
      <c r="A172" s="337"/>
      <c r="B172" s="305"/>
      <c r="C172" s="238"/>
      <c r="D172" s="347"/>
      <c r="E172" s="222">
        <v>2019</v>
      </c>
      <c r="F172" s="2"/>
      <c r="G172" s="2"/>
      <c r="H172" s="2"/>
      <c r="I172" s="2"/>
      <c r="J172" s="2"/>
      <c r="K172" s="240"/>
      <c r="L172" s="99"/>
    </row>
    <row r="173" spans="1:14" x14ac:dyDescent="0.2">
      <c r="A173" s="337"/>
      <c r="B173" s="305"/>
      <c r="C173" s="238"/>
      <c r="D173" s="347"/>
      <c r="E173" s="222">
        <v>2020</v>
      </c>
      <c r="F173" s="2"/>
      <c r="G173" s="2"/>
      <c r="H173" s="2"/>
      <c r="I173" s="2"/>
      <c r="J173" s="2"/>
      <c r="K173" s="240"/>
    </row>
    <row r="174" spans="1:14" ht="92.25" customHeight="1" x14ac:dyDescent="0.2">
      <c r="A174" s="337"/>
      <c r="B174" s="305"/>
      <c r="C174" s="238"/>
      <c r="D174" s="348"/>
      <c r="E174" s="18" t="s">
        <v>18</v>
      </c>
      <c r="F174" s="2"/>
      <c r="G174" s="2"/>
      <c r="H174" s="2"/>
      <c r="I174" s="2"/>
      <c r="J174" s="2"/>
      <c r="K174" s="241"/>
    </row>
    <row r="175" spans="1:14" x14ac:dyDescent="0.2">
      <c r="A175" s="341" t="s">
        <v>269</v>
      </c>
      <c r="B175" s="417" t="s">
        <v>222</v>
      </c>
      <c r="C175" s="237" t="s">
        <v>123</v>
      </c>
      <c r="D175" s="347" t="s">
        <v>207</v>
      </c>
      <c r="E175" s="208">
        <v>2015</v>
      </c>
      <c r="F175" s="1"/>
      <c r="G175" s="1"/>
      <c r="H175" s="1"/>
      <c r="I175" s="1"/>
      <c r="J175" s="1"/>
      <c r="K175" s="240" t="s">
        <v>51</v>
      </c>
    </row>
    <row r="176" spans="1:14" x14ac:dyDescent="0.2">
      <c r="A176" s="337"/>
      <c r="B176" s="417"/>
      <c r="C176" s="238"/>
      <c r="D176" s="347"/>
      <c r="E176" s="222">
        <v>2016</v>
      </c>
      <c r="F176" s="2"/>
      <c r="G176" s="2"/>
      <c r="H176" s="2"/>
      <c r="I176" s="2"/>
      <c r="J176" s="2"/>
      <c r="K176" s="240"/>
    </row>
    <row r="177" spans="1:12" x14ac:dyDescent="0.2">
      <c r="A177" s="337"/>
      <c r="B177" s="417"/>
      <c r="C177" s="238"/>
      <c r="D177" s="347"/>
      <c r="E177" s="222">
        <v>2017</v>
      </c>
      <c r="F177" s="2"/>
      <c r="G177" s="2"/>
      <c r="H177" s="2"/>
      <c r="I177" s="2"/>
      <c r="J177" s="2"/>
      <c r="K177" s="240"/>
      <c r="L177" s="99"/>
    </row>
    <row r="178" spans="1:12" x14ac:dyDescent="0.2">
      <c r="A178" s="337"/>
      <c r="B178" s="417"/>
      <c r="C178" s="238"/>
      <c r="D178" s="347"/>
      <c r="E178" s="222">
        <v>2018</v>
      </c>
      <c r="F178" s="2"/>
      <c r="G178" s="2"/>
      <c r="H178" s="2"/>
      <c r="I178" s="2"/>
      <c r="J178" s="2"/>
      <c r="K178" s="240"/>
    </row>
    <row r="179" spans="1:12" x14ac:dyDescent="0.2">
      <c r="A179" s="337"/>
      <c r="B179" s="417"/>
      <c r="C179" s="238"/>
      <c r="D179" s="347"/>
      <c r="E179" s="222">
        <v>2019</v>
      </c>
      <c r="F179" s="2"/>
      <c r="G179" s="2"/>
      <c r="H179" s="2"/>
      <c r="I179" s="2"/>
      <c r="J179" s="2"/>
      <c r="K179" s="240"/>
    </row>
    <row r="180" spans="1:12" x14ac:dyDescent="0.2">
      <c r="A180" s="337"/>
      <c r="B180" s="417"/>
      <c r="C180" s="238"/>
      <c r="D180" s="347"/>
      <c r="E180" s="222">
        <v>2020</v>
      </c>
      <c r="F180" s="2"/>
      <c r="G180" s="2"/>
      <c r="H180" s="2"/>
      <c r="I180" s="2"/>
      <c r="J180" s="2"/>
      <c r="K180" s="240"/>
    </row>
    <row r="181" spans="1:12" ht="77.25" customHeight="1" x14ac:dyDescent="0.2">
      <c r="A181" s="337"/>
      <c r="B181" s="418"/>
      <c r="C181" s="238"/>
      <c r="D181" s="348"/>
      <c r="E181" s="18" t="s">
        <v>18</v>
      </c>
      <c r="F181" s="2"/>
      <c r="G181" s="2"/>
      <c r="H181" s="2"/>
      <c r="I181" s="2"/>
      <c r="J181" s="2"/>
      <c r="K181" s="241"/>
    </row>
    <row r="182" spans="1:12" x14ac:dyDescent="0.2">
      <c r="A182" s="337" t="s">
        <v>270</v>
      </c>
      <c r="B182" s="315" t="s">
        <v>52</v>
      </c>
      <c r="C182" s="237" t="s">
        <v>123</v>
      </c>
      <c r="D182" s="346" t="s">
        <v>207</v>
      </c>
      <c r="E182" s="222">
        <v>2015</v>
      </c>
      <c r="F182" s="408" t="s">
        <v>53</v>
      </c>
      <c r="G182" s="409"/>
      <c r="H182" s="409"/>
      <c r="I182" s="409"/>
      <c r="J182" s="410"/>
      <c r="K182" s="239" t="s">
        <v>54</v>
      </c>
    </row>
    <row r="183" spans="1:12" x14ac:dyDescent="0.2">
      <c r="A183" s="337"/>
      <c r="B183" s="345"/>
      <c r="C183" s="238"/>
      <c r="D183" s="347"/>
      <c r="E183" s="222">
        <v>2016</v>
      </c>
      <c r="F183" s="411"/>
      <c r="G183" s="412"/>
      <c r="H183" s="412"/>
      <c r="I183" s="412"/>
      <c r="J183" s="413"/>
      <c r="K183" s="240"/>
    </row>
    <row r="184" spans="1:12" x14ac:dyDescent="0.2">
      <c r="A184" s="337"/>
      <c r="B184" s="345"/>
      <c r="C184" s="238"/>
      <c r="D184" s="347"/>
      <c r="E184" s="222">
        <v>2017</v>
      </c>
      <c r="F184" s="411"/>
      <c r="G184" s="412"/>
      <c r="H184" s="412"/>
      <c r="I184" s="412"/>
      <c r="J184" s="413"/>
      <c r="K184" s="240"/>
    </row>
    <row r="185" spans="1:12" x14ac:dyDescent="0.2">
      <c r="A185" s="337"/>
      <c r="B185" s="345"/>
      <c r="C185" s="238"/>
      <c r="D185" s="347"/>
      <c r="E185" s="222">
        <v>2018</v>
      </c>
      <c r="F185" s="411"/>
      <c r="G185" s="412"/>
      <c r="H185" s="412"/>
      <c r="I185" s="412"/>
      <c r="J185" s="413"/>
      <c r="K185" s="240"/>
      <c r="L185" s="99"/>
    </row>
    <row r="186" spans="1:12" x14ac:dyDescent="0.2">
      <c r="A186" s="337"/>
      <c r="B186" s="345"/>
      <c r="C186" s="238"/>
      <c r="D186" s="347"/>
      <c r="E186" s="222">
        <v>2019</v>
      </c>
      <c r="F186" s="411"/>
      <c r="G186" s="412"/>
      <c r="H186" s="412"/>
      <c r="I186" s="412"/>
      <c r="J186" s="413"/>
      <c r="K186" s="240"/>
    </row>
    <row r="187" spans="1:12" x14ac:dyDescent="0.2">
      <c r="A187" s="337"/>
      <c r="B187" s="345"/>
      <c r="C187" s="238"/>
      <c r="D187" s="347"/>
      <c r="E187" s="222">
        <v>2020</v>
      </c>
      <c r="F187" s="411"/>
      <c r="G187" s="412"/>
      <c r="H187" s="412"/>
      <c r="I187" s="412"/>
      <c r="J187" s="413"/>
      <c r="K187" s="240"/>
    </row>
    <row r="188" spans="1:12" ht="15.75" customHeight="1" x14ac:dyDescent="0.2">
      <c r="A188" s="337"/>
      <c r="B188" s="354"/>
      <c r="C188" s="238"/>
      <c r="D188" s="348"/>
      <c r="E188" s="18" t="s">
        <v>18</v>
      </c>
      <c r="F188" s="414"/>
      <c r="G188" s="415"/>
      <c r="H188" s="415"/>
      <c r="I188" s="415"/>
      <c r="J188" s="416"/>
      <c r="K188" s="240"/>
    </row>
    <row r="189" spans="1:12" x14ac:dyDescent="0.2">
      <c r="A189" s="337" t="s">
        <v>271</v>
      </c>
      <c r="B189" s="288" t="s">
        <v>55</v>
      </c>
      <c r="C189" s="237" t="s">
        <v>123</v>
      </c>
      <c r="D189" s="346" t="s">
        <v>207</v>
      </c>
      <c r="E189" s="222">
        <v>2015</v>
      </c>
      <c r="F189" s="511" t="s">
        <v>56</v>
      </c>
      <c r="G189" s="512"/>
      <c r="H189" s="512"/>
      <c r="I189" s="512"/>
      <c r="J189" s="513"/>
      <c r="K189" s="254"/>
    </row>
    <row r="190" spans="1:12" x14ac:dyDescent="0.2">
      <c r="A190" s="337"/>
      <c r="B190" s="288"/>
      <c r="C190" s="238"/>
      <c r="D190" s="347"/>
      <c r="E190" s="222">
        <v>2016</v>
      </c>
      <c r="F190" s="514"/>
      <c r="G190" s="515"/>
      <c r="H190" s="515"/>
      <c r="I190" s="515"/>
      <c r="J190" s="516"/>
      <c r="K190" s="254"/>
    </row>
    <row r="191" spans="1:12" x14ac:dyDescent="0.2">
      <c r="A191" s="337"/>
      <c r="B191" s="288"/>
      <c r="C191" s="238"/>
      <c r="D191" s="347"/>
      <c r="E191" s="222">
        <v>2017</v>
      </c>
      <c r="F191" s="514"/>
      <c r="G191" s="515"/>
      <c r="H191" s="515"/>
      <c r="I191" s="515"/>
      <c r="J191" s="516"/>
      <c r="K191" s="254"/>
    </row>
    <row r="192" spans="1:12" x14ac:dyDescent="0.2">
      <c r="A192" s="337"/>
      <c r="B192" s="288"/>
      <c r="C192" s="238"/>
      <c r="D192" s="347"/>
      <c r="E192" s="222">
        <v>2018</v>
      </c>
      <c r="F192" s="514"/>
      <c r="G192" s="515"/>
      <c r="H192" s="515"/>
      <c r="I192" s="515"/>
      <c r="J192" s="516"/>
      <c r="K192" s="254"/>
    </row>
    <row r="193" spans="1:28" x14ac:dyDescent="0.2">
      <c r="A193" s="337"/>
      <c r="B193" s="288"/>
      <c r="C193" s="238"/>
      <c r="D193" s="347"/>
      <c r="E193" s="222">
        <v>2019</v>
      </c>
      <c r="F193" s="514"/>
      <c r="G193" s="515"/>
      <c r="H193" s="515"/>
      <c r="I193" s="515"/>
      <c r="J193" s="516"/>
      <c r="K193" s="254"/>
    </row>
    <row r="194" spans="1:28" x14ac:dyDescent="0.2">
      <c r="A194" s="337"/>
      <c r="B194" s="288"/>
      <c r="C194" s="238"/>
      <c r="D194" s="347"/>
      <c r="E194" s="222">
        <v>2020</v>
      </c>
      <c r="F194" s="517"/>
      <c r="G194" s="518"/>
      <c r="H194" s="518"/>
      <c r="I194" s="518"/>
      <c r="J194" s="519"/>
      <c r="K194" s="254"/>
    </row>
    <row r="195" spans="1:28" x14ac:dyDescent="0.2">
      <c r="A195" s="337"/>
      <c r="B195" s="288"/>
      <c r="C195" s="238"/>
      <c r="D195" s="348"/>
      <c r="E195" s="26" t="s">
        <v>18</v>
      </c>
      <c r="F195" s="207"/>
      <c r="G195" s="207"/>
      <c r="H195" s="207"/>
      <c r="I195" s="207"/>
      <c r="J195" s="207"/>
      <c r="K195" s="282"/>
    </row>
    <row r="196" spans="1:28" ht="14.25" customHeight="1" x14ac:dyDescent="0.25">
      <c r="A196" s="374" t="s">
        <v>272</v>
      </c>
      <c r="B196" s="523" t="s">
        <v>125</v>
      </c>
      <c r="C196" s="296" t="s">
        <v>400</v>
      </c>
      <c r="D196" s="239" t="s">
        <v>207</v>
      </c>
      <c r="E196" s="222">
        <v>2016</v>
      </c>
      <c r="F196" s="7">
        <f>SUM(G196:J196)</f>
        <v>12886.900000000001</v>
      </c>
      <c r="G196" s="10"/>
      <c r="H196" s="10">
        <f>13077.7-190.8</f>
        <v>12886.900000000001</v>
      </c>
      <c r="I196" s="10"/>
      <c r="J196" s="22"/>
      <c r="K196" s="239" t="s">
        <v>135</v>
      </c>
    </row>
    <row r="197" spans="1:28" ht="14.25" customHeight="1" x14ac:dyDescent="0.25">
      <c r="A197" s="375"/>
      <c r="B197" s="524"/>
      <c r="C197" s="253"/>
      <c r="D197" s="240"/>
      <c r="E197" s="222">
        <v>2017</v>
      </c>
      <c r="F197" s="7">
        <f t="shared" ref="F197:F198" si="25">SUM(G197:J197)</f>
        <v>12955</v>
      </c>
      <c r="G197" s="10"/>
      <c r="H197" s="10">
        <f>12995.9-40.9</f>
        <v>12955</v>
      </c>
      <c r="I197" s="10"/>
      <c r="J197" s="22"/>
      <c r="K197" s="240"/>
      <c r="L197" s="99"/>
    </row>
    <row r="198" spans="1:28" ht="15" customHeight="1" x14ac:dyDescent="0.25">
      <c r="A198" s="375"/>
      <c r="B198" s="524"/>
      <c r="C198" s="253"/>
      <c r="D198" s="240"/>
      <c r="E198" s="222">
        <v>2018</v>
      </c>
      <c r="F198" s="7">
        <f t="shared" si="25"/>
        <v>9816</v>
      </c>
      <c r="G198" s="10"/>
      <c r="H198" s="10">
        <f>9994.9-178.9</f>
        <v>9816</v>
      </c>
      <c r="I198" s="10"/>
      <c r="J198" s="22"/>
      <c r="K198" s="240"/>
    </row>
    <row r="199" spans="1:28" ht="13.5" customHeight="1" x14ac:dyDescent="0.25">
      <c r="A199" s="375"/>
      <c r="B199" s="524"/>
      <c r="C199" s="253"/>
      <c r="D199" s="240"/>
      <c r="E199" s="222">
        <v>2019</v>
      </c>
      <c r="F199" s="7">
        <f t="shared" ref="F199" si="26">SUM(G199:J199)</f>
        <v>10020.4</v>
      </c>
      <c r="G199" s="10"/>
      <c r="H199" s="10">
        <f>9882.4+138</f>
        <v>10020.4</v>
      </c>
      <c r="I199" s="10"/>
      <c r="J199" s="22"/>
      <c r="K199" s="240"/>
      <c r="L199" s="99"/>
    </row>
    <row r="200" spans="1:28" ht="16.5" customHeight="1" x14ac:dyDescent="0.25">
      <c r="A200" s="375"/>
      <c r="B200" s="524"/>
      <c r="C200" s="253"/>
      <c r="D200" s="240"/>
      <c r="E200" s="222">
        <v>2020</v>
      </c>
      <c r="F200" s="10">
        <f>H200</f>
        <v>9984.6</v>
      </c>
      <c r="G200" s="10"/>
      <c r="H200" s="10">
        <f>9882.4+102.2</f>
        <v>9984.6</v>
      </c>
      <c r="I200" s="10"/>
      <c r="J200" s="22"/>
      <c r="K200" s="240"/>
    </row>
    <row r="201" spans="1:28" ht="14.25" customHeight="1" x14ac:dyDescent="0.25">
      <c r="A201" s="375"/>
      <c r="B201" s="524"/>
      <c r="C201" s="253"/>
      <c r="D201" s="240"/>
      <c r="E201" s="222">
        <v>2021</v>
      </c>
      <c r="F201" s="7">
        <f t="shared" ref="F201:F202" si="27">SUM(G201:J201)</f>
        <v>10035.699999999999</v>
      </c>
      <c r="G201" s="10"/>
      <c r="H201" s="10">
        <f>9882.4+153.3</f>
        <v>10035.699999999999</v>
      </c>
      <c r="I201" s="10"/>
      <c r="J201" s="22"/>
      <c r="K201" s="240"/>
      <c r="L201" s="99"/>
    </row>
    <row r="202" spans="1:28" ht="15" customHeight="1" x14ac:dyDescent="0.25">
      <c r="A202" s="375"/>
      <c r="B202" s="524"/>
      <c r="C202" s="253"/>
      <c r="D202" s="240"/>
      <c r="E202" s="222">
        <v>2022</v>
      </c>
      <c r="F202" s="7">
        <f t="shared" si="27"/>
        <v>10056.200000000001</v>
      </c>
      <c r="G202" s="10"/>
      <c r="H202" s="10">
        <f>11000-943.8</f>
        <v>10056.200000000001</v>
      </c>
      <c r="I202" s="10"/>
      <c r="J202" s="22"/>
      <c r="K202" s="240"/>
    </row>
    <row r="203" spans="1:28" ht="13.5" customHeight="1" x14ac:dyDescent="0.25">
      <c r="A203" s="375"/>
      <c r="B203" s="524"/>
      <c r="C203" s="253"/>
      <c r="D203" s="240"/>
      <c r="E203" s="222">
        <v>2023</v>
      </c>
      <c r="F203" s="7">
        <f t="shared" ref="F203" si="28">SUM(G203:J203)</f>
        <v>11506</v>
      </c>
      <c r="G203" s="10"/>
      <c r="H203" s="10">
        <v>11506</v>
      </c>
      <c r="I203" s="10"/>
      <c r="J203" s="22"/>
      <c r="K203" s="240"/>
      <c r="L203" s="99"/>
    </row>
    <row r="204" spans="1:28" ht="16.5" customHeight="1" x14ac:dyDescent="0.25">
      <c r="A204" s="375"/>
      <c r="B204" s="524"/>
      <c r="C204" s="253"/>
      <c r="D204" s="240"/>
      <c r="E204" s="222">
        <v>2024</v>
      </c>
      <c r="F204" s="10">
        <f>H204</f>
        <v>12035.3</v>
      </c>
      <c r="G204" s="10"/>
      <c r="H204" s="10">
        <v>12035.3</v>
      </c>
      <c r="I204" s="10"/>
      <c r="J204" s="22"/>
      <c r="K204" s="240"/>
    </row>
    <row r="205" spans="1:28" ht="16.5" customHeight="1" x14ac:dyDescent="0.25">
      <c r="A205" s="375"/>
      <c r="B205" s="524"/>
      <c r="C205" s="253"/>
      <c r="D205" s="240"/>
      <c r="E205" s="222">
        <v>2025</v>
      </c>
      <c r="F205" s="10">
        <f>H205</f>
        <v>12588.9</v>
      </c>
      <c r="G205" s="10"/>
      <c r="H205" s="10">
        <v>12588.9</v>
      </c>
      <c r="I205" s="10"/>
      <c r="J205" s="22"/>
      <c r="K205" s="240"/>
    </row>
    <row r="206" spans="1:28" ht="16.5" customHeight="1" x14ac:dyDescent="0.25">
      <c r="A206" s="376"/>
      <c r="B206" s="525"/>
      <c r="C206" s="281"/>
      <c r="D206" s="241"/>
      <c r="E206" s="18" t="s">
        <v>18</v>
      </c>
      <c r="F206" s="10">
        <f>SUM(F196:F205)</f>
        <v>111885</v>
      </c>
      <c r="G206" s="10"/>
      <c r="H206" s="10">
        <f>SUM(H196:H205)</f>
        <v>111885</v>
      </c>
      <c r="I206" s="10"/>
      <c r="J206" s="22"/>
      <c r="K206" s="241"/>
      <c r="P206" s="99"/>
    </row>
    <row r="207" spans="1:28" ht="23.25" customHeight="1" thickBot="1" x14ac:dyDescent="0.25">
      <c r="A207" s="405" t="s">
        <v>185</v>
      </c>
      <c r="B207" s="406"/>
      <c r="C207" s="406"/>
      <c r="D207" s="407"/>
      <c r="E207" s="214"/>
      <c r="F207" s="145">
        <f>F195+F181+F174+F155+F167+F206</f>
        <v>5503861.9000000004</v>
      </c>
      <c r="G207" s="145"/>
      <c r="H207" s="145">
        <f>H195+H181+H174+H155+H167+H206</f>
        <v>4694887</v>
      </c>
      <c r="I207" s="145">
        <f>I195+I181+I174+I155+I167+I206</f>
        <v>808974.9</v>
      </c>
      <c r="J207" s="17"/>
      <c r="K207" s="37"/>
      <c r="L207" s="117"/>
      <c r="M207" s="99"/>
      <c r="N207" s="117"/>
      <c r="O207" s="99"/>
      <c r="P207" s="117"/>
    </row>
    <row r="208" spans="1:28" ht="25.5" customHeight="1" thickBot="1" x14ac:dyDescent="0.25">
      <c r="A208" s="520" t="s">
        <v>190</v>
      </c>
      <c r="B208" s="521"/>
      <c r="C208" s="521"/>
      <c r="D208" s="521"/>
      <c r="E208" s="165"/>
      <c r="F208" s="166">
        <f>SUM(G208:I208)</f>
        <v>6280721</v>
      </c>
      <c r="G208" s="166"/>
      <c r="H208" s="166">
        <f>H207+H115</f>
        <v>5108352.0999999996</v>
      </c>
      <c r="I208" s="166">
        <f>I207+I115</f>
        <v>1172368.8999999999</v>
      </c>
      <c r="J208" s="97"/>
      <c r="K208" s="98"/>
      <c r="L208" s="46"/>
      <c r="M208" s="28"/>
      <c r="N208" s="46"/>
      <c r="O208" s="28"/>
      <c r="P208" s="46"/>
      <c r="Q208" s="104"/>
      <c r="R208" s="28"/>
      <c r="S208" s="104"/>
      <c r="T208" s="28"/>
      <c r="U208" s="28"/>
      <c r="V208" s="28"/>
      <c r="W208" s="28"/>
      <c r="X208" s="28"/>
      <c r="Y208" s="28"/>
      <c r="Z208" s="28"/>
      <c r="AA208" s="28"/>
      <c r="AB208" s="28"/>
    </row>
    <row r="209" spans="1:32" ht="23.25" customHeight="1" x14ac:dyDescent="0.2">
      <c r="A209" s="479" t="s">
        <v>178</v>
      </c>
      <c r="B209" s="480"/>
      <c r="C209" s="480"/>
      <c r="D209" s="480"/>
      <c r="E209" s="480"/>
      <c r="F209" s="480"/>
      <c r="G209" s="480"/>
      <c r="H209" s="480"/>
      <c r="I209" s="480"/>
      <c r="J209" s="480"/>
      <c r="K209" s="48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38"/>
      <c r="AD209" s="38"/>
      <c r="AE209" s="38"/>
      <c r="AF209" s="39"/>
    </row>
    <row r="210" spans="1:32" ht="15.75" x14ac:dyDescent="0.2">
      <c r="A210" s="259" t="s">
        <v>177</v>
      </c>
      <c r="B210" s="484"/>
      <c r="C210" s="522"/>
      <c r="D210" s="484"/>
      <c r="E210" s="484"/>
      <c r="F210" s="484"/>
      <c r="G210" s="484"/>
      <c r="H210" s="484"/>
      <c r="I210" s="484"/>
      <c r="J210" s="484"/>
      <c r="K210" s="484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F210" s="41"/>
    </row>
    <row r="211" spans="1:32" ht="12.75" customHeight="1" x14ac:dyDescent="0.2">
      <c r="A211" s="344" t="s">
        <v>16</v>
      </c>
      <c r="B211" s="288" t="s">
        <v>416</v>
      </c>
      <c r="C211" s="237" t="s">
        <v>396</v>
      </c>
      <c r="D211" s="346" t="s">
        <v>387</v>
      </c>
      <c r="E211" s="222">
        <v>2015</v>
      </c>
      <c r="F211" s="14"/>
      <c r="G211" s="14"/>
      <c r="H211" s="14"/>
      <c r="I211" s="14"/>
      <c r="J211" s="14"/>
      <c r="K211" s="239" t="s">
        <v>397</v>
      </c>
    </row>
    <row r="212" spans="1:32" x14ac:dyDescent="0.2">
      <c r="A212" s="344"/>
      <c r="B212" s="305"/>
      <c r="C212" s="238"/>
      <c r="D212" s="347"/>
      <c r="E212" s="222">
        <v>2016</v>
      </c>
      <c r="F212" s="14"/>
      <c r="G212" s="14"/>
      <c r="H212" s="14"/>
      <c r="I212" s="14"/>
      <c r="J212" s="14"/>
      <c r="K212" s="240"/>
    </row>
    <row r="213" spans="1:32" x14ac:dyDescent="0.2">
      <c r="A213" s="344"/>
      <c r="B213" s="305"/>
      <c r="C213" s="238"/>
      <c r="D213" s="347"/>
      <c r="E213" s="222">
        <v>2017</v>
      </c>
      <c r="F213" s="14"/>
      <c r="G213" s="14"/>
      <c r="H213" s="14"/>
      <c r="I213" s="14"/>
      <c r="J213" s="14"/>
      <c r="K213" s="240"/>
      <c r="L213" s="99"/>
    </row>
    <row r="214" spans="1:32" x14ac:dyDescent="0.2">
      <c r="A214" s="344"/>
      <c r="B214" s="305"/>
      <c r="C214" s="238"/>
      <c r="D214" s="347"/>
      <c r="E214" s="222">
        <v>2018</v>
      </c>
      <c r="F214" s="14"/>
      <c r="G214" s="14"/>
      <c r="H214" s="14"/>
      <c r="I214" s="14"/>
      <c r="J214" s="14"/>
      <c r="K214" s="240"/>
    </row>
    <row r="215" spans="1:32" ht="15" x14ac:dyDescent="0.25">
      <c r="A215" s="344"/>
      <c r="B215" s="305"/>
      <c r="C215" s="238"/>
      <c r="D215" s="347"/>
      <c r="E215" s="222">
        <v>2019</v>
      </c>
      <c r="F215" s="7">
        <f>SUM(G215:J215)</f>
        <v>3063.3999999999996</v>
      </c>
      <c r="G215" s="14"/>
      <c r="H215" s="14">
        <f>85230-85230</f>
        <v>0</v>
      </c>
      <c r="I215" s="7">
        <f>20500-12915.6-215.1-4305.9</f>
        <v>3063.3999999999996</v>
      </c>
      <c r="J215" s="14"/>
      <c r="K215" s="240"/>
    </row>
    <row r="216" spans="1:32" x14ac:dyDescent="0.2">
      <c r="A216" s="344"/>
      <c r="B216" s="305"/>
      <c r="C216" s="238"/>
      <c r="D216" s="347"/>
      <c r="E216" s="222">
        <v>2020</v>
      </c>
      <c r="F216" s="14">
        <f>SUM(G216:J216)</f>
        <v>0</v>
      </c>
      <c r="G216" s="14"/>
      <c r="H216" s="14">
        <v>0</v>
      </c>
      <c r="I216" s="14">
        <v>0</v>
      </c>
      <c r="J216" s="14"/>
      <c r="K216" s="240"/>
    </row>
    <row r="217" spans="1:32" x14ac:dyDescent="0.2">
      <c r="A217" s="344"/>
      <c r="B217" s="364"/>
      <c r="C217" s="238"/>
      <c r="D217" s="347"/>
      <c r="E217" s="222">
        <v>2021</v>
      </c>
      <c r="F217" s="14">
        <f>SUM(G217:J217)</f>
        <v>0</v>
      </c>
      <c r="G217" s="14"/>
      <c r="H217" s="14">
        <f>85230-85230</f>
        <v>0</v>
      </c>
      <c r="I217" s="14">
        <v>0</v>
      </c>
      <c r="J217" s="14"/>
      <c r="K217" s="240"/>
    </row>
    <row r="218" spans="1:32" x14ac:dyDescent="0.2">
      <c r="A218" s="344"/>
      <c r="B218" s="364"/>
      <c r="C218" s="238"/>
      <c r="D218" s="347"/>
      <c r="E218" s="222">
        <v>2022</v>
      </c>
      <c r="F218" s="14">
        <f>SUM(G218:J218)</f>
        <v>0</v>
      </c>
      <c r="G218" s="14"/>
      <c r="H218" s="14">
        <v>0</v>
      </c>
      <c r="I218" s="14">
        <v>0</v>
      </c>
      <c r="J218" s="14"/>
      <c r="K218" s="240"/>
    </row>
    <row r="219" spans="1:32" x14ac:dyDescent="0.2">
      <c r="A219" s="344"/>
      <c r="B219" s="364"/>
      <c r="C219" s="238"/>
      <c r="D219" s="348"/>
      <c r="E219" s="18" t="s">
        <v>18</v>
      </c>
      <c r="F219" s="13">
        <f>SUM(F211:F216)</f>
        <v>3063.3999999999996</v>
      </c>
      <c r="G219" s="13">
        <f>SUM(G211:G216)</f>
        <v>0</v>
      </c>
      <c r="H219" s="13">
        <f>SUM(H211:H216)</f>
        <v>0</v>
      </c>
      <c r="I219" s="13">
        <f>SUM(I211:I216)</f>
        <v>3063.3999999999996</v>
      </c>
      <c r="J219" s="14"/>
      <c r="K219" s="241"/>
    </row>
    <row r="220" spans="1:32" ht="12.75" customHeight="1" x14ac:dyDescent="0.25">
      <c r="A220" s="344" t="s">
        <v>19</v>
      </c>
      <c r="B220" s="288" t="s">
        <v>57</v>
      </c>
      <c r="C220" s="237" t="s">
        <v>58</v>
      </c>
      <c r="D220" s="346" t="s">
        <v>390</v>
      </c>
      <c r="E220" s="222">
        <v>2015</v>
      </c>
      <c r="F220" s="7">
        <f>SUM(G220:I220)</f>
        <v>11594</v>
      </c>
      <c r="G220" s="7"/>
      <c r="H220" s="7">
        <f>9200+2278</f>
        <v>11478</v>
      </c>
      <c r="I220" s="7">
        <f>92.9+23.1</f>
        <v>116</v>
      </c>
      <c r="J220" s="14"/>
      <c r="K220" s="239" t="s">
        <v>136</v>
      </c>
    </row>
    <row r="221" spans="1:32" ht="15" x14ac:dyDescent="0.25">
      <c r="A221" s="344"/>
      <c r="B221" s="305"/>
      <c r="C221" s="238"/>
      <c r="D221" s="347"/>
      <c r="E221" s="222">
        <v>2016</v>
      </c>
      <c r="F221" s="7">
        <f>SUM(G221:I221)</f>
        <v>19796.5</v>
      </c>
      <c r="G221" s="7"/>
      <c r="H221" s="7">
        <v>19593.599999999999</v>
      </c>
      <c r="I221" s="7">
        <f>198+4.9</f>
        <v>202.9</v>
      </c>
      <c r="J221" s="14"/>
      <c r="K221" s="240"/>
    </row>
    <row r="222" spans="1:32" ht="78" customHeight="1" x14ac:dyDescent="0.2">
      <c r="A222" s="344"/>
      <c r="B222" s="305"/>
      <c r="C222" s="238"/>
      <c r="D222" s="348"/>
      <c r="E222" s="18" t="s">
        <v>18</v>
      </c>
      <c r="F222" s="8">
        <f>SUM(F220:F221)</f>
        <v>31390.5</v>
      </c>
      <c r="G222" s="8"/>
      <c r="H222" s="8">
        <f>SUM(H220:H221)</f>
        <v>31071.599999999999</v>
      </c>
      <c r="I222" s="8">
        <f>SUM(I220:I221)</f>
        <v>318.89999999999998</v>
      </c>
      <c r="J222" s="14"/>
      <c r="K222" s="241"/>
    </row>
    <row r="223" spans="1:32" x14ac:dyDescent="0.2">
      <c r="A223" s="344" t="s">
        <v>59</v>
      </c>
      <c r="B223" s="288" t="s">
        <v>259</v>
      </c>
      <c r="C223" s="237" t="s">
        <v>137</v>
      </c>
      <c r="D223" s="346" t="s">
        <v>387</v>
      </c>
      <c r="E223" s="222">
        <v>2015</v>
      </c>
      <c r="F223" s="14">
        <f>SUM(G223:I223)</f>
        <v>0</v>
      </c>
      <c r="G223" s="14"/>
      <c r="H223" s="14">
        <f>19500-19500</f>
        <v>0</v>
      </c>
      <c r="I223" s="14">
        <f>197-197</f>
        <v>0</v>
      </c>
      <c r="J223" s="14"/>
      <c r="K223" s="239" t="s">
        <v>171</v>
      </c>
    </row>
    <row r="224" spans="1:32" x14ac:dyDescent="0.2">
      <c r="A224" s="344"/>
      <c r="B224" s="305"/>
      <c r="C224" s="238"/>
      <c r="D224" s="347"/>
      <c r="E224" s="222">
        <v>2016</v>
      </c>
      <c r="F224" s="14">
        <f>SUM(G224:I224)</f>
        <v>0</v>
      </c>
      <c r="G224" s="14"/>
      <c r="H224" s="14">
        <v>0</v>
      </c>
      <c r="I224" s="14">
        <v>0</v>
      </c>
      <c r="J224" s="14"/>
      <c r="K224" s="240"/>
    </row>
    <row r="225" spans="1:33" ht="15" x14ac:dyDescent="0.25">
      <c r="A225" s="344"/>
      <c r="B225" s="305"/>
      <c r="C225" s="238"/>
      <c r="D225" s="347"/>
      <c r="E225" s="222">
        <v>2017</v>
      </c>
      <c r="F225" s="7">
        <f>SUM(G225:I225)</f>
        <v>23206.5</v>
      </c>
      <c r="G225" s="7"/>
      <c r="H225" s="7">
        <v>0</v>
      </c>
      <c r="I225" s="7">
        <f>30000-6793.5</f>
        <v>23206.5</v>
      </c>
      <c r="J225" s="14"/>
      <c r="K225" s="240"/>
      <c r="L225" s="99"/>
    </row>
    <row r="226" spans="1:33" ht="15" x14ac:dyDescent="0.25">
      <c r="A226" s="344"/>
      <c r="B226" s="305"/>
      <c r="C226" s="238"/>
      <c r="D226" s="347"/>
      <c r="E226" s="222">
        <v>2018</v>
      </c>
      <c r="F226" s="7">
        <f>SUM(G226:I226)</f>
        <v>32367.100000000002</v>
      </c>
      <c r="G226" s="7"/>
      <c r="H226" s="7">
        <f>20413.7+8747.2</f>
        <v>29160.9</v>
      </c>
      <c r="I226" s="7">
        <v>3206.2</v>
      </c>
      <c r="J226" s="14"/>
      <c r="K226" s="240"/>
      <c r="L226" s="99" t="s">
        <v>351</v>
      </c>
      <c r="M226" s="99" t="s">
        <v>353</v>
      </c>
    </row>
    <row r="227" spans="1:33" ht="27.75" customHeight="1" x14ac:dyDescent="0.2">
      <c r="A227" s="344"/>
      <c r="B227" s="305"/>
      <c r="C227" s="238"/>
      <c r="D227" s="348"/>
      <c r="E227" s="18" t="s">
        <v>18</v>
      </c>
      <c r="F227" s="8">
        <f>SUM(F223:F226)</f>
        <v>55573.600000000006</v>
      </c>
      <c r="G227" s="8"/>
      <c r="H227" s="8">
        <f>SUM(H223:H226)</f>
        <v>29160.9</v>
      </c>
      <c r="I227" s="8">
        <f>SUM(I223:I226)</f>
        <v>26412.7</v>
      </c>
      <c r="J227" s="14"/>
      <c r="K227" s="241"/>
    </row>
    <row r="228" spans="1:33" ht="15" x14ac:dyDescent="0.2">
      <c r="A228" s="42" t="s">
        <v>119</v>
      </c>
      <c r="B228" s="215"/>
      <c r="C228" s="35"/>
      <c r="D228" s="43"/>
      <c r="E228" s="18"/>
      <c r="F228" s="3"/>
      <c r="G228" s="3"/>
      <c r="H228" s="3"/>
      <c r="I228" s="3"/>
      <c r="J228" s="2"/>
      <c r="K228" s="222"/>
    </row>
    <row r="229" spans="1:33" ht="15" x14ac:dyDescent="0.25">
      <c r="A229" s="344" t="s">
        <v>60</v>
      </c>
      <c r="B229" s="315" t="s">
        <v>432</v>
      </c>
      <c r="C229" s="296" t="s">
        <v>402</v>
      </c>
      <c r="D229" s="239" t="s">
        <v>386</v>
      </c>
      <c r="E229" s="222">
        <v>2015</v>
      </c>
      <c r="F229" s="7">
        <f t="shared" ref="F229:F234" si="29">SUM(G229:I229)</f>
        <v>11247</v>
      </c>
      <c r="G229" s="7"/>
      <c r="H229" s="7">
        <v>11106</v>
      </c>
      <c r="I229" s="7">
        <f>176.6-5-30.6</f>
        <v>141</v>
      </c>
      <c r="J229" s="14"/>
      <c r="K229" s="239" t="s">
        <v>138</v>
      </c>
    </row>
    <row r="230" spans="1:33" ht="15" x14ac:dyDescent="0.25">
      <c r="A230" s="344"/>
      <c r="B230" s="345"/>
      <c r="C230" s="253"/>
      <c r="D230" s="240"/>
      <c r="E230" s="222">
        <v>2016</v>
      </c>
      <c r="F230" s="7">
        <f t="shared" si="29"/>
        <v>18177.099999999995</v>
      </c>
      <c r="G230" s="7"/>
      <c r="H230" s="7">
        <v>0</v>
      </c>
      <c r="I230" s="7">
        <f>329.1+8010.2+741.4+6855.2- 5378.5-329.1+7910+38.8</f>
        <v>18177.099999999995</v>
      </c>
      <c r="J230" s="14"/>
      <c r="K230" s="240"/>
    </row>
    <row r="231" spans="1:33" ht="15" x14ac:dyDescent="0.25">
      <c r="A231" s="344"/>
      <c r="B231" s="345"/>
      <c r="C231" s="253"/>
      <c r="D231" s="240"/>
      <c r="E231" s="222">
        <v>2017</v>
      </c>
      <c r="F231" s="7">
        <f t="shared" si="29"/>
        <v>11055.7</v>
      </c>
      <c r="G231" s="7"/>
      <c r="H231" s="7">
        <v>0</v>
      </c>
      <c r="I231" s="7">
        <f>10704.2+351.5</f>
        <v>11055.7</v>
      </c>
      <c r="J231" s="14"/>
      <c r="K231" s="240"/>
      <c r="L231" s="99"/>
      <c r="O231" s="99" t="s">
        <v>325</v>
      </c>
      <c r="P231" s="99"/>
    </row>
    <row r="232" spans="1:33" x14ac:dyDescent="0.2">
      <c r="A232" s="344"/>
      <c r="B232" s="345"/>
      <c r="C232" s="253"/>
      <c r="D232" s="240"/>
      <c r="E232" s="222">
        <v>2018</v>
      </c>
      <c r="F232" s="14">
        <f t="shared" si="29"/>
        <v>0</v>
      </c>
      <c r="G232" s="14"/>
      <c r="H232" s="14">
        <f>5675-5675</f>
        <v>0</v>
      </c>
      <c r="I232" s="14">
        <f>299-299</f>
        <v>0</v>
      </c>
      <c r="J232" s="14"/>
      <c r="K232" s="240"/>
    </row>
    <row r="233" spans="1:33" x14ac:dyDescent="0.2">
      <c r="A233" s="344"/>
      <c r="B233" s="345"/>
      <c r="C233" s="253"/>
      <c r="D233" s="240"/>
      <c r="E233" s="222">
        <v>2019</v>
      </c>
      <c r="F233" s="14">
        <f t="shared" si="29"/>
        <v>26077.599999999999</v>
      </c>
      <c r="G233" s="14"/>
      <c r="H233" s="14">
        <f>31206.5+5422.6-11613.5</f>
        <v>25015.599999999999</v>
      </c>
      <c r="I233" s="14">
        <f>1585.2+224.8+140.8-888.8</f>
        <v>1062</v>
      </c>
      <c r="J233" s="14"/>
      <c r="K233" s="240"/>
      <c r="L233" s="99"/>
    </row>
    <row r="234" spans="1:33" x14ac:dyDescent="0.2">
      <c r="A234" s="344"/>
      <c r="B234" s="345"/>
      <c r="C234" s="253"/>
      <c r="D234" s="240"/>
      <c r="E234" s="222">
        <v>2020</v>
      </c>
      <c r="F234" s="14">
        <f t="shared" si="29"/>
        <v>34896.699999999997</v>
      </c>
      <c r="G234" s="14"/>
      <c r="H234" s="14">
        <f>30035.7-9010.7+13522.7</f>
        <v>34547.699999999997</v>
      </c>
      <c r="I234" s="14">
        <f>303.4+3870.2-3824.6</f>
        <v>348.99999999999955</v>
      </c>
      <c r="J234" s="14"/>
      <c r="K234" s="240"/>
    </row>
    <row r="235" spans="1:33" x14ac:dyDescent="0.2">
      <c r="A235" s="350"/>
      <c r="B235" s="345"/>
      <c r="C235" s="253"/>
      <c r="D235" s="240"/>
      <c r="E235" s="222">
        <v>2021</v>
      </c>
      <c r="F235" s="14">
        <f t="shared" ref="F235" si="30">SUM(G235:I235)</f>
        <v>1939.4</v>
      </c>
      <c r="G235" s="14"/>
      <c r="H235" s="14">
        <f>27020-8106.1-16993.9</f>
        <v>1920</v>
      </c>
      <c r="I235" s="14">
        <f>272.9-253.5</f>
        <v>19.399999999999977</v>
      </c>
      <c r="J235" s="14"/>
      <c r="K235" s="240"/>
    </row>
    <row r="236" spans="1:33" x14ac:dyDescent="0.2">
      <c r="A236" s="350"/>
      <c r="B236" s="345"/>
      <c r="C236" s="253"/>
      <c r="D236" s="240"/>
      <c r="E236" s="222">
        <v>2022</v>
      </c>
      <c r="F236" s="14">
        <f t="shared" ref="F236" si="31">SUM(G236:I236)</f>
        <v>13326.3</v>
      </c>
      <c r="G236" s="14"/>
      <c r="H236" s="14">
        <v>13193</v>
      </c>
      <c r="I236" s="14">
        <v>133.30000000000001</v>
      </c>
      <c r="J236" s="14"/>
      <c r="K236" s="240"/>
    </row>
    <row r="237" spans="1:33" ht="60" customHeight="1" x14ac:dyDescent="0.2">
      <c r="A237" s="350"/>
      <c r="B237" s="345"/>
      <c r="C237" s="253"/>
      <c r="D237" s="240"/>
      <c r="E237" s="26" t="s">
        <v>18</v>
      </c>
      <c r="F237" s="9">
        <f>SUM(F229:F236)</f>
        <v>116719.79999999999</v>
      </c>
      <c r="G237" s="9"/>
      <c r="H237" s="9">
        <f>SUM(H229:H236)</f>
        <v>85782.299999999988</v>
      </c>
      <c r="I237" s="9">
        <f>SUM(I229:I236)</f>
        <v>30937.499999999996</v>
      </c>
      <c r="J237" s="22"/>
      <c r="K237" s="240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F237" s="28"/>
      <c r="AG237" s="28"/>
    </row>
    <row r="238" spans="1:33" ht="15" x14ac:dyDescent="0.25">
      <c r="A238" s="351" t="s">
        <v>228</v>
      </c>
      <c r="B238" s="288" t="s">
        <v>247</v>
      </c>
      <c r="C238" s="237" t="s">
        <v>399</v>
      </c>
      <c r="D238" s="283" t="s">
        <v>386</v>
      </c>
      <c r="E238" s="222">
        <v>2016</v>
      </c>
      <c r="F238" s="7">
        <f t="shared" ref="F238:F240" si="32">SUM(G238:I238)</f>
        <v>63958.799999999996</v>
      </c>
      <c r="G238" s="7"/>
      <c r="H238" s="7">
        <v>63319.199999999997</v>
      </c>
      <c r="I238" s="7">
        <v>639.6</v>
      </c>
      <c r="J238" s="14"/>
      <c r="K238" s="283" t="s">
        <v>138</v>
      </c>
    </row>
    <row r="239" spans="1:33" ht="15" x14ac:dyDescent="0.25">
      <c r="A239" s="351"/>
      <c r="B239" s="288"/>
      <c r="C239" s="237"/>
      <c r="D239" s="283"/>
      <c r="E239" s="222">
        <v>2017</v>
      </c>
      <c r="F239" s="7">
        <f t="shared" si="32"/>
        <v>29803.499999999996</v>
      </c>
      <c r="G239" s="7"/>
      <c r="H239" s="7">
        <f>37157.1-7676.9</f>
        <v>29480.199999999997</v>
      </c>
      <c r="I239" s="7">
        <f>400.8-77.5</f>
        <v>323.3</v>
      </c>
      <c r="J239" s="14"/>
      <c r="K239" s="283"/>
      <c r="L239" s="99" t="s">
        <v>355</v>
      </c>
      <c r="M239" s="99"/>
      <c r="O239" s="125" t="s">
        <v>356</v>
      </c>
      <c r="P239" s="109"/>
      <c r="Q239" s="112"/>
    </row>
    <row r="240" spans="1:33" ht="15" x14ac:dyDescent="0.25">
      <c r="A240" s="351"/>
      <c r="B240" s="288"/>
      <c r="C240" s="237"/>
      <c r="D240" s="283"/>
      <c r="E240" s="222">
        <v>2018</v>
      </c>
      <c r="F240" s="7">
        <f t="shared" si="32"/>
        <v>428.1</v>
      </c>
      <c r="G240" s="7"/>
      <c r="H240" s="7">
        <v>428.1</v>
      </c>
      <c r="I240" s="7"/>
      <c r="J240" s="14"/>
      <c r="K240" s="283"/>
      <c r="L240" s="99"/>
      <c r="M240" s="99"/>
      <c r="O240" s="104"/>
      <c r="P240" s="28"/>
      <c r="Q240" s="28"/>
    </row>
    <row r="241" spans="1:33" ht="109.5" customHeight="1" x14ac:dyDescent="0.2">
      <c r="A241" s="351"/>
      <c r="B241" s="288"/>
      <c r="C241" s="237"/>
      <c r="D241" s="283"/>
      <c r="E241" s="18" t="s">
        <v>18</v>
      </c>
      <c r="F241" s="8">
        <f>SUM(F238:F240)</f>
        <v>94190.399999999994</v>
      </c>
      <c r="G241" s="8"/>
      <c r="H241" s="8">
        <f t="shared" ref="H241:I241" si="33">SUM(H238:H240)</f>
        <v>93227.5</v>
      </c>
      <c r="I241" s="8">
        <f t="shared" si="33"/>
        <v>962.90000000000009</v>
      </c>
      <c r="J241" s="14"/>
      <c r="K241" s="283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</row>
    <row r="242" spans="1:33" ht="15" x14ac:dyDescent="0.25">
      <c r="A242" s="352" t="s">
        <v>230</v>
      </c>
      <c r="B242" s="345" t="s">
        <v>243</v>
      </c>
      <c r="C242" s="253" t="s">
        <v>229</v>
      </c>
      <c r="D242" s="240" t="s">
        <v>386</v>
      </c>
      <c r="E242" s="208">
        <v>2017</v>
      </c>
      <c r="F242" s="143">
        <f t="shared" ref="F242" si="34">SUM(G242:I242)</f>
        <v>18085.100000000002</v>
      </c>
      <c r="G242" s="143"/>
      <c r="H242" s="143">
        <f>22240.4-4343</f>
        <v>17897.400000000001</v>
      </c>
      <c r="I242" s="143">
        <f>224.7-37</f>
        <v>187.7</v>
      </c>
      <c r="J242" s="12"/>
      <c r="K242" s="240" t="s">
        <v>138</v>
      </c>
      <c r="L242" s="99" t="s">
        <v>357</v>
      </c>
      <c r="N242" s="99"/>
    </row>
    <row r="243" spans="1:33" ht="122.25" customHeight="1" x14ac:dyDescent="0.2">
      <c r="A243" s="353"/>
      <c r="B243" s="354"/>
      <c r="C243" s="281"/>
      <c r="D243" s="241"/>
      <c r="E243" s="26" t="s">
        <v>18</v>
      </c>
      <c r="F243" s="9">
        <f>SUM(F242:F242)</f>
        <v>18085.100000000002</v>
      </c>
      <c r="G243" s="9"/>
      <c r="H243" s="9">
        <f>SUM(H242:H242)</f>
        <v>17897.400000000001</v>
      </c>
      <c r="I243" s="9">
        <f>SUM(I242:I242)</f>
        <v>187.7</v>
      </c>
      <c r="J243" s="22"/>
      <c r="K243" s="241"/>
      <c r="L243" s="124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F243" s="28"/>
      <c r="AG243" s="28"/>
    </row>
    <row r="244" spans="1:33" ht="15" x14ac:dyDescent="0.25">
      <c r="A244" s="355" t="s">
        <v>260</v>
      </c>
      <c r="B244" s="315" t="s">
        <v>392</v>
      </c>
      <c r="C244" s="296" t="s">
        <v>137</v>
      </c>
      <c r="D244" s="239" t="s">
        <v>386</v>
      </c>
      <c r="E244" s="222">
        <v>2017</v>
      </c>
      <c r="F244" s="7">
        <f t="shared" ref="F244:F245" si="35">SUM(G244:I244)</f>
        <v>5818.9</v>
      </c>
      <c r="G244" s="7"/>
      <c r="H244" s="7">
        <v>5760.7</v>
      </c>
      <c r="I244" s="7">
        <v>58.2</v>
      </c>
      <c r="J244" s="14"/>
      <c r="K244" s="239" t="s">
        <v>138</v>
      </c>
      <c r="L244" s="104" t="s">
        <v>334</v>
      </c>
    </row>
    <row r="245" spans="1:33" ht="15" x14ac:dyDescent="0.25">
      <c r="A245" s="352"/>
      <c r="B245" s="345"/>
      <c r="C245" s="253"/>
      <c r="D245" s="240"/>
      <c r="E245" s="207">
        <v>2018</v>
      </c>
      <c r="F245" s="7">
        <f t="shared" si="35"/>
        <v>7447.2</v>
      </c>
      <c r="G245" s="10"/>
      <c r="H245" s="10">
        <v>6829</v>
      </c>
      <c r="I245" s="10">
        <f>492.7+125.5</f>
        <v>618.20000000000005</v>
      </c>
      <c r="J245" s="22"/>
      <c r="K245" s="240"/>
      <c r="L245" s="104"/>
    </row>
    <row r="246" spans="1:33" ht="139.5" customHeight="1" x14ac:dyDescent="0.2">
      <c r="A246" s="353"/>
      <c r="B246" s="354"/>
      <c r="C246" s="281"/>
      <c r="D246" s="241"/>
      <c r="E246" s="26" t="s">
        <v>18</v>
      </c>
      <c r="F246" s="9">
        <f>SUM(F244:F245)</f>
        <v>13266.099999999999</v>
      </c>
      <c r="G246" s="9"/>
      <c r="H246" s="9">
        <f t="shared" ref="H246:I246" si="36">SUM(H244:H245)</f>
        <v>12589.7</v>
      </c>
      <c r="I246" s="9">
        <f t="shared" si="36"/>
        <v>676.40000000000009</v>
      </c>
      <c r="J246" s="22"/>
      <c r="K246" s="241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28"/>
    </row>
    <row r="247" spans="1:33" ht="33" customHeight="1" x14ac:dyDescent="0.25">
      <c r="A247" s="355" t="s">
        <v>322</v>
      </c>
      <c r="B247" s="315" t="s">
        <v>358</v>
      </c>
      <c r="C247" s="296" t="s">
        <v>229</v>
      </c>
      <c r="D247" s="239" t="s">
        <v>386</v>
      </c>
      <c r="E247" s="222">
        <v>2017</v>
      </c>
      <c r="F247" s="7">
        <f t="shared" ref="F247" si="37">SUM(G247:I247)</f>
        <v>2615.6000000000004</v>
      </c>
      <c r="G247" s="7"/>
      <c r="H247" s="7">
        <v>2596.3000000000002</v>
      </c>
      <c r="I247" s="7">
        <v>19.3</v>
      </c>
      <c r="J247" s="14"/>
      <c r="K247" s="239" t="s">
        <v>138</v>
      </c>
      <c r="L247" s="104" t="s">
        <v>334</v>
      </c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28"/>
    </row>
    <row r="248" spans="1:33" ht="149.25" customHeight="1" x14ac:dyDescent="0.2">
      <c r="A248" s="353"/>
      <c r="B248" s="354"/>
      <c r="C248" s="281"/>
      <c r="D248" s="241"/>
      <c r="E248" s="26" t="s">
        <v>18</v>
      </c>
      <c r="F248" s="9">
        <f>SUM(F247:F247)</f>
        <v>2615.6000000000004</v>
      </c>
      <c r="G248" s="9"/>
      <c r="H248" s="9">
        <f>SUM(H247:H247)</f>
        <v>2596.3000000000002</v>
      </c>
      <c r="I248" s="9">
        <f>SUM(I247:I247)</f>
        <v>19.3</v>
      </c>
      <c r="J248" s="22"/>
      <c r="K248" s="241"/>
      <c r="L248" s="104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</row>
    <row r="249" spans="1:33" ht="33" customHeight="1" x14ac:dyDescent="0.25">
      <c r="A249" s="355" t="s">
        <v>391</v>
      </c>
      <c r="B249" s="315" t="s">
        <v>393</v>
      </c>
      <c r="C249" s="296">
        <v>2018</v>
      </c>
      <c r="D249" s="239" t="s">
        <v>386</v>
      </c>
      <c r="E249" s="222">
        <v>2018</v>
      </c>
      <c r="F249" s="7">
        <f t="shared" ref="F249" si="38">SUM(G249:I249)</f>
        <v>25000</v>
      </c>
      <c r="G249" s="7"/>
      <c r="H249" s="7">
        <v>24750</v>
      </c>
      <c r="I249" s="7">
        <v>250</v>
      </c>
      <c r="J249" s="14"/>
      <c r="K249" s="239" t="s">
        <v>138</v>
      </c>
      <c r="L249" s="104" t="s">
        <v>334</v>
      </c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28"/>
    </row>
    <row r="250" spans="1:33" ht="133.5" customHeight="1" x14ac:dyDescent="0.2">
      <c r="A250" s="353"/>
      <c r="B250" s="354"/>
      <c r="C250" s="281"/>
      <c r="D250" s="241"/>
      <c r="E250" s="26" t="s">
        <v>18</v>
      </c>
      <c r="F250" s="9">
        <f>SUM(F249:F249)</f>
        <v>25000</v>
      </c>
      <c r="G250" s="9"/>
      <c r="H250" s="9">
        <f>SUM(H249:H249)</f>
        <v>24750</v>
      </c>
      <c r="I250" s="9">
        <f>SUM(I249:I249)</f>
        <v>250</v>
      </c>
      <c r="J250" s="22"/>
      <c r="K250" s="241"/>
      <c r="L250" s="104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</row>
    <row r="251" spans="1:33" ht="14.25" customHeight="1" x14ac:dyDescent="0.2">
      <c r="A251" s="317" t="s">
        <v>206</v>
      </c>
      <c r="B251" s="349"/>
      <c r="C251" s="349"/>
      <c r="D251" s="349"/>
      <c r="E251" s="349"/>
      <c r="F251" s="349"/>
      <c r="G251" s="349"/>
      <c r="H251" s="349"/>
      <c r="I251" s="349"/>
      <c r="J251" s="349"/>
      <c r="K251" s="349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F251" s="36"/>
      <c r="AG251" s="28"/>
    </row>
    <row r="252" spans="1:33" ht="15" x14ac:dyDescent="0.25">
      <c r="A252" s="344" t="s">
        <v>116</v>
      </c>
      <c r="B252" s="251" t="s">
        <v>439</v>
      </c>
      <c r="C252" s="296" t="s">
        <v>402</v>
      </c>
      <c r="D252" s="239" t="s">
        <v>386</v>
      </c>
      <c r="E252" s="222">
        <v>2015</v>
      </c>
      <c r="F252" s="7">
        <f>SUM(G252:I252)</f>
        <v>3333.3</v>
      </c>
      <c r="G252" s="7"/>
      <c r="H252" s="7">
        <v>3300</v>
      </c>
      <c r="I252" s="7">
        <v>33.299999999999997</v>
      </c>
      <c r="J252" s="14"/>
      <c r="K252" s="239" t="s">
        <v>138</v>
      </c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28"/>
    </row>
    <row r="253" spans="1:33" ht="15" x14ac:dyDescent="0.25">
      <c r="A253" s="344"/>
      <c r="B253" s="294"/>
      <c r="C253" s="253"/>
      <c r="D253" s="240"/>
      <c r="E253" s="222">
        <v>2016</v>
      </c>
      <c r="F253" s="7">
        <f>SUM(G253:I253)</f>
        <v>7820.0999999999995</v>
      </c>
      <c r="G253" s="7"/>
      <c r="H253" s="7">
        <f>0+7375.9</f>
        <v>7375.9</v>
      </c>
      <c r="I253" s="7">
        <f>369.7+74.5</f>
        <v>444.2</v>
      </c>
      <c r="J253" s="14"/>
      <c r="K253" s="240"/>
    </row>
    <row r="254" spans="1:33" ht="15" x14ac:dyDescent="0.25">
      <c r="A254" s="344"/>
      <c r="B254" s="294"/>
      <c r="C254" s="253"/>
      <c r="D254" s="240"/>
      <c r="E254" s="222">
        <v>2017</v>
      </c>
      <c r="F254" s="7">
        <f>SUM(G254:I254)</f>
        <v>3699.9</v>
      </c>
      <c r="G254" s="7"/>
      <c r="H254" s="7">
        <v>3662.9</v>
      </c>
      <c r="I254" s="7">
        <v>37</v>
      </c>
      <c r="J254" s="14"/>
      <c r="K254" s="240"/>
      <c r="L254" s="4" t="s">
        <v>359</v>
      </c>
    </row>
    <row r="255" spans="1:33" ht="15" x14ac:dyDescent="0.25">
      <c r="A255" s="344"/>
      <c r="B255" s="294"/>
      <c r="C255" s="253"/>
      <c r="D255" s="240"/>
      <c r="E255" s="222">
        <v>2018</v>
      </c>
      <c r="F255" s="7">
        <f t="shared" ref="F255:F258" si="39">SUM(G255:I255)</f>
        <v>0</v>
      </c>
      <c r="G255" s="14"/>
      <c r="H255" s="7">
        <v>0</v>
      </c>
      <c r="I255" s="7">
        <v>0</v>
      </c>
      <c r="J255" s="14"/>
      <c r="K255" s="240"/>
    </row>
    <row r="256" spans="1:33" ht="15" x14ac:dyDescent="0.25">
      <c r="A256" s="344"/>
      <c r="B256" s="294"/>
      <c r="C256" s="253"/>
      <c r="D256" s="240"/>
      <c r="E256" s="222">
        <v>2019</v>
      </c>
      <c r="F256" s="7">
        <f t="shared" si="39"/>
        <v>1300.7</v>
      </c>
      <c r="G256" s="14"/>
      <c r="H256" s="7">
        <v>1287.7</v>
      </c>
      <c r="I256" s="7">
        <v>13</v>
      </c>
      <c r="J256" s="14"/>
      <c r="K256" s="240"/>
    </row>
    <row r="257" spans="1:32" ht="15" x14ac:dyDescent="0.25">
      <c r="A257" s="344"/>
      <c r="B257" s="294"/>
      <c r="C257" s="253"/>
      <c r="D257" s="240"/>
      <c r="E257" s="222">
        <v>2020</v>
      </c>
      <c r="F257" s="7">
        <f t="shared" si="39"/>
        <v>12685.6</v>
      </c>
      <c r="G257" s="14"/>
      <c r="H257" s="7">
        <v>12558.7</v>
      </c>
      <c r="I257" s="7">
        <v>126.9</v>
      </c>
      <c r="J257" s="14"/>
      <c r="K257" s="240"/>
    </row>
    <row r="258" spans="1:32" ht="15" x14ac:dyDescent="0.25">
      <c r="A258" s="344"/>
      <c r="B258" s="294"/>
      <c r="C258" s="253"/>
      <c r="D258" s="240"/>
      <c r="E258" s="222">
        <v>2021</v>
      </c>
      <c r="F258" s="7">
        <f t="shared" si="39"/>
        <v>0</v>
      </c>
      <c r="G258" s="14"/>
      <c r="H258" s="7">
        <v>0</v>
      </c>
      <c r="I258" s="7">
        <v>0</v>
      </c>
      <c r="J258" s="14"/>
      <c r="K258" s="240"/>
    </row>
    <row r="259" spans="1:32" ht="167.25" customHeight="1" x14ac:dyDescent="0.2">
      <c r="A259" s="344"/>
      <c r="B259" s="294"/>
      <c r="C259" s="281"/>
      <c r="D259" s="241"/>
      <c r="E259" s="18" t="s">
        <v>18</v>
      </c>
      <c r="F259" s="8">
        <f>SUM(F252:F258)</f>
        <v>28839.599999999999</v>
      </c>
      <c r="G259" s="8"/>
      <c r="H259" s="8">
        <f>SUM(H252:H258)</f>
        <v>28185.200000000001</v>
      </c>
      <c r="I259" s="8">
        <f>SUM(I252:I258)</f>
        <v>654.4</v>
      </c>
      <c r="J259" s="14"/>
      <c r="K259" s="241"/>
    </row>
    <row r="260" spans="1:32" ht="15" customHeight="1" x14ac:dyDescent="0.25">
      <c r="A260" s="319" t="s">
        <v>261</v>
      </c>
      <c r="B260" s="251" t="s">
        <v>232</v>
      </c>
      <c r="C260" s="237" t="s">
        <v>401</v>
      </c>
      <c r="D260" s="283" t="s">
        <v>207</v>
      </c>
      <c r="E260" s="222">
        <v>2016</v>
      </c>
      <c r="F260" s="7">
        <f>G260+H260+I260</f>
        <v>10976.3</v>
      </c>
      <c r="G260" s="8"/>
      <c r="H260" s="8"/>
      <c r="I260" s="7">
        <f>5500+3899.9+1247.3+329.1</f>
        <v>10976.3</v>
      </c>
      <c r="J260" s="14"/>
      <c r="K260" s="283" t="s">
        <v>134</v>
      </c>
    </row>
    <row r="261" spans="1:32" ht="13.5" customHeight="1" x14ac:dyDescent="0.25">
      <c r="A261" s="319"/>
      <c r="B261" s="251"/>
      <c r="C261" s="237"/>
      <c r="D261" s="283"/>
      <c r="E261" s="222">
        <v>2017</v>
      </c>
      <c r="F261" s="7">
        <f>G261+H261+I261</f>
        <v>6064</v>
      </c>
      <c r="G261" s="8"/>
      <c r="H261" s="8"/>
      <c r="I261" s="7">
        <f>6314-250</f>
        <v>6064</v>
      </c>
      <c r="J261" s="14"/>
      <c r="K261" s="283"/>
      <c r="L261" s="211"/>
      <c r="M261" s="502"/>
      <c r="N261" s="502"/>
      <c r="O261" s="502"/>
      <c r="P261" s="99" t="s">
        <v>233</v>
      </c>
    </row>
    <row r="262" spans="1:32" ht="18.75" customHeight="1" x14ac:dyDescent="0.25">
      <c r="A262" s="319"/>
      <c r="B262" s="251"/>
      <c r="C262" s="237"/>
      <c r="D262" s="283"/>
      <c r="E262" s="222">
        <v>2018</v>
      </c>
      <c r="F262" s="7">
        <f>G262+H262+I262</f>
        <v>1350</v>
      </c>
      <c r="G262" s="8"/>
      <c r="H262" s="8"/>
      <c r="I262" s="7">
        <v>1350</v>
      </c>
      <c r="J262" s="14"/>
      <c r="K262" s="283"/>
      <c r="L262" s="99"/>
      <c r="M262" s="99" t="s">
        <v>235</v>
      </c>
    </row>
    <row r="263" spans="1:32" ht="16.5" customHeight="1" x14ac:dyDescent="0.25">
      <c r="A263" s="319"/>
      <c r="B263" s="251"/>
      <c r="C263" s="237"/>
      <c r="D263" s="283"/>
      <c r="E263" s="222">
        <v>2019</v>
      </c>
      <c r="F263" s="7">
        <f>G263+H263+I263</f>
        <v>859.1</v>
      </c>
      <c r="G263" s="8"/>
      <c r="H263" s="8"/>
      <c r="I263" s="7">
        <f>1280-232.3-188.6</f>
        <v>859.1</v>
      </c>
      <c r="J263" s="14"/>
      <c r="K263" s="283"/>
      <c r="L263" s="99"/>
      <c r="M263" s="99" t="s">
        <v>236</v>
      </c>
    </row>
    <row r="264" spans="1:32" ht="15.75" customHeight="1" x14ac:dyDescent="0.25">
      <c r="A264" s="319"/>
      <c r="B264" s="251"/>
      <c r="C264" s="237"/>
      <c r="D264" s="283"/>
      <c r="E264" s="222">
        <v>2020</v>
      </c>
      <c r="F264" s="7">
        <f>G264+H264+I264</f>
        <v>1268.8</v>
      </c>
      <c r="G264" s="7"/>
      <c r="H264" s="7"/>
      <c r="I264" s="7">
        <v>1268.8</v>
      </c>
      <c r="J264" s="14"/>
      <c r="K264" s="283"/>
    </row>
    <row r="265" spans="1:32" ht="15.75" customHeight="1" x14ac:dyDescent="0.25">
      <c r="A265" s="319"/>
      <c r="B265" s="251"/>
      <c r="C265" s="237"/>
      <c r="D265" s="283"/>
      <c r="E265" s="222">
        <v>2021</v>
      </c>
      <c r="F265" s="7">
        <v>0</v>
      </c>
      <c r="G265" s="7"/>
      <c r="H265" s="7"/>
      <c r="I265" s="7">
        <v>0</v>
      </c>
      <c r="J265" s="14"/>
      <c r="K265" s="283"/>
    </row>
    <row r="266" spans="1:32" ht="16.5" customHeight="1" x14ac:dyDescent="0.2">
      <c r="A266" s="319"/>
      <c r="B266" s="251"/>
      <c r="C266" s="237"/>
      <c r="D266" s="283"/>
      <c r="E266" s="18" t="s">
        <v>18</v>
      </c>
      <c r="F266" s="8">
        <f>SUM(F260:F265)</f>
        <v>20518.199999999997</v>
      </c>
      <c r="G266" s="8"/>
      <c r="H266" s="8">
        <v>0</v>
      </c>
      <c r="I266" s="8">
        <f>SUM(I260:I265)</f>
        <v>20518.199999999997</v>
      </c>
      <c r="J266" s="14"/>
      <c r="K266" s="283"/>
    </row>
    <row r="267" spans="1:32" ht="15" customHeight="1" x14ac:dyDescent="0.2">
      <c r="A267" s="317" t="s">
        <v>388</v>
      </c>
      <c r="B267" s="318"/>
      <c r="C267" s="318"/>
      <c r="D267" s="318"/>
      <c r="E267" s="318"/>
      <c r="F267" s="318"/>
      <c r="G267" s="318"/>
      <c r="H267" s="318"/>
      <c r="I267" s="318"/>
      <c r="J267" s="318"/>
      <c r="K267" s="318"/>
      <c r="L267" s="45"/>
      <c r="M267" s="45"/>
      <c r="N267" s="45"/>
      <c r="O267" s="45"/>
      <c r="P267" s="45"/>
      <c r="Q267" s="45"/>
      <c r="R267" s="45"/>
      <c r="S267" s="45"/>
      <c r="T267" s="45"/>
      <c r="U267" s="45"/>
      <c r="V267" s="45"/>
      <c r="W267" s="45"/>
      <c r="X267" s="45"/>
      <c r="Y267" s="45"/>
      <c r="Z267" s="45"/>
      <c r="AA267" s="45"/>
      <c r="AB267" s="45"/>
      <c r="AC267" s="45"/>
      <c r="AD267" s="45"/>
      <c r="AE267" s="45"/>
      <c r="AF267" s="45"/>
    </row>
    <row r="268" spans="1:32" ht="12.75" customHeight="1" x14ac:dyDescent="0.25">
      <c r="A268" s="319" t="s">
        <v>264</v>
      </c>
      <c r="B268" s="251" t="s">
        <v>296</v>
      </c>
      <c r="C268" s="237" t="s">
        <v>403</v>
      </c>
      <c r="D268" s="283" t="s">
        <v>207</v>
      </c>
      <c r="E268" s="222">
        <v>2015</v>
      </c>
      <c r="F268" s="7">
        <f t="shared" ref="F268:F273" si="40">SUM(G268:I268)</f>
        <v>28178.2</v>
      </c>
      <c r="G268" s="7"/>
      <c r="H268" s="7"/>
      <c r="I268" s="7">
        <f>27846.2+850-518</f>
        <v>28178.2</v>
      </c>
      <c r="J268" s="14"/>
      <c r="K268" s="239" t="s">
        <v>133</v>
      </c>
      <c r="L268" s="104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F268" s="28"/>
    </row>
    <row r="269" spans="1:32" ht="12.75" customHeight="1" x14ac:dyDescent="0.25">
      <c r="A269" s="319"/>
      <c r="B269" s="294"/>
      <c r="C269" s="237"/>
      <c r="D269" s="283"/>
      <c r="E269" s="222">
        <v>2016</v>
      </c>
      <c r="F269" s="7">
        <f t="shared" si="40"/>
        <v>27397.3</v>
      </c>
      <c r="G269" s="7"/>
      <c r="H269" s="7"/>
      <c r="I269" s="7">
        <f>29107-180-453.2-1076.5</f>
        <v>27397.3</v>
      </c>
      <c r="J269" s="14"/>
      <c r="K269" s="240"/>
      <c r="L269" s="46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F269" s="28"/>
    </row>
    <row r="270" spans="1:32" ht="12.75" customHeight="1" x14ac:dyDescent="0.25">
      <c r="A270" s="319"/>
      <c r="B270" s="294"/>
      <c r="C270" s="237"/>
      <c r="D270" s="283"/>
      <c r="E270" s="222">
        <v>2017</v>
      </c>
      <c r="F270" s="7">
        <f t="shared" si="40"/>
        <v>60180.4</v>
      </c>
      <c r="G270" s="7"/>
      <c r="H270" s="7"/>
      <c r="I270" s="7">
        <f>28167.4+27751.9+4261.1</f>
        <v>60180.4</v>
      </c>
      <c r="J270" s="14"/>
      <c r="K270" s="240"/>
      <c r="L270" s="104"/>
      <c r="M270" s="104" t="s">
        <v>349</v>
      </c>
      <c r="N270" s="28"/>
      <c r="O270" s="104" t="s">
        <v>345</v>
      </c>
      <c r="P270" s="104">
        <v>861.1</v>
      </c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</row>
    <row r="271" spans="1:32" ht="12.75" customHeight="1" x14ac:dyDescent="0.25">
      <c r="A271" s="319"/>
      <c r="B271" s="294"/>
      <c r="C271" s="237"/>
      <c r="D271" s="283"/>
      <c r="E271" s="222">
        <v>2018</v>
      </c>
      <c r="F271" s="7">
        <f t="shared" si="40"/>
        <v>66992.800000000003</v>
      </c>
      <c r="G271" s="7"/>
      <c r="H271" s="7">
        <f>1042.9-298.4</f>
        <v>744.50000000000011</v>
      </c>
      <c r="I271" s="7">
        <f>64246.1+2002.2</f>
        <v>66248.3</v>
      </c>
      <c r="J271" s="14"/>
      <c r="K271" s="240"/>
      <c r="L271" s="104"/>
      <c r="M271" s="104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</row>
    <row r="272" spans="1:32" ht="12.75" customHeight="1" x14ac:dyDescent="0.25">
      <c r="A272" s="319"/>
      <c r="B272" s="294"/>
      <c r="C272" s="237"/>
      <c r="D272" s="283"/>
      <c r="E272" s="222">
        <v>2019</v>
      </c>
      <c r="F272" s="7">
        <f t="shared" si="40"/>
        <v>99137.5</v>
      </c>
      <c r="G272" s="7"/>
      <c r="H272" s="7">
        <f>1164.3-84.4-226.7</f>
        <v>853.19999999999982</v>
      </c>
      <c r="I272" s="7">
        <f>71240+15555.7+5677.1+5811.5</f>
        <v>98284.3</v>
      </c>
      <c r="J272" s="14"/>
      <c r="K272" s="240"/>
      <c r="L272" s="104"/>
      <c r="M272" s="104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F272" s="28"/>
    </row>
    <row r="273" spans="1:32" ht="12.75" customHeight="1" x14ac:dyDescent="0.25">
      <c r="A273" s="319"/>
      <c r="B273" s="294"/>
      <c r="C273" s="237"/>
      <c r="D273" s="283"/>
      <c r="E273" s="222">
        <v>2020</v>
      </c>
      <c r="F273" s="7">
        <f t="shared" si="40"/>
        <v>81206.499999999985</v>
      </c>
      <c r="G273" s="7"/>
      <c r="H273" s="7">
        <f>1164.3-226.9</f>
        <v>937.4</v>
      </c>
      <c r="I273" s="7">
        <f>29770.9-20607.7+71105.9</f>
        <v>80269.099999999991</v>
      </c>
      <c r="J273" s="14"/>
      <c r="K273" s="240"/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F273" s="28"/>
    </row>
    <row r="274" spans="1:32" ht="12.75" customHeight="1" x14ac:dyDescent="0.25">
      <c r="A274" s="319"/>
      <c r="B274" s="294"/>
      <c r="C274" s="237"/>
      <c r="D274" s="283"/>
      <c r="E274" s="222">
        <v>2021</v>
      </c>
      <c r="F274" s="7">
        <f t="shared" ref="F274:F277" si="41">SUM(G274:I274)</f>
        <v>15395.8</v>
      </c>
      <c r="G274" s="7"/>
      <c r="H274" s="7">
        <f>1164.3-226.9</f>
        <v>937.4</v>
      </c>
      <c r="I274" s="7">
        <f>9861.8-9846+14442.6</f>
        <v>14458.4</v>
      </c>
      <c r="J274" s="14"/>
      <c r="K274" s="240"/>
      <c r="L274" s="104"/>
      <c r="M274" s="104" t="s">
        <v>349</v>
      </c>
      <c r="N274" s="28"/>
      <c r="O274" s="104" t="s">
        <v>345</v>
      </c>
      <c r="P274" s="104">
        <v>861.1</v>
      </c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</row>
    <row r="275" spans="1:32" ht="12.75" customHeight="1" x14ac:dyDescent="0.25">
      <c r="A275" s="319"/>
      <c r="B275" s="294"/>
      <c r="C275" s="237"/>
      <c r="D275" s="283"/>
      <c r="E275" s="222">
        <v>2022</v>
      </c>
      <c r="F275" s="7">
        <f t="shared" si="41"/>
        <v>937.4</v>
      </c>
      <c r="G275" s="7"/>
      <c r="H275" s="7">
        <f>1300-362.6</f>
        <v>937.4</v>
      </c>
      <c r="I275" s="7">
        <f>10256.3-10256.3</f>
        <v>0</v>
      </c>
      <c r="J275" s="14"/>
      <c r="K275" s="240"/>
      <c r="L275" s="104"/>
      <c r="M275" s="104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</row>
    <row r="276" spans="1:32" ht="12.75" customHeight="1" x14ac:dyDescent="0.25">
      <c r="A276" s="319"/>
      <c r="B276" s="294"/>
      <c r="C276" s="237"/>
      <c r="D276" s="283"/>
      <c r="E276" s="222">
        <v>2023</v>
      </c>
      <c r="F276" s="7">
        <f t="shared" si="41"/>
        <v>12026.4</v>
      </c>
      <c r="G276" s="7"/>
      <c r="H276" s="7">
        <v>1359.8</v>
      </c>
      <c r="I276" s="7">
        <v>10666.6</v>
      </c>
      <c r="J276" s="14"/>
      <c r="K276" s="240"/>
      <c r="L276" s="104"/>
      <c r="M276" s="104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F276" s="28"/>
    </row>
    <row r="277" spans="1:32" ht="12.75" customHeight="1" x14ac:dyDescent="0.25">
      <c r="A277" s="319"/>
      <c r="B277" s="294"/>
      <c r="C277" s="237"/>
      <c r="D277" s="283"/>
      <c r="E277" s="222">
        <v>2024</v>
      </c>
      <c r="F277" s="7">
        <f t="shared" si="41"/>
        <v>12515.699999999999</v>
      </c>
      <c r="G277" s="7"/>
      <c r="H277" s="7">
        <v>1422.4</v>
      </c>
      <c r="I277" s="7">
        <v>11093.3</v>
      </c>
      <c r="J277" s="14"/>
      <c r="K277" s="240"/>
      <c r="L277" s="28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F277" s="28"/>
    </row>
    <row r="278" spans="1:32" ht="12.75" customHeight="1" x14ac:dyDescent="0.25">
      <c r="A278" s="319"/>
      <c r="B278" s="294"/>
      <c r="C278" s="237"/>
      <c r="D278" s="283"/>
      <c r="E278" s="222">
        <v>2025</v>
      </c>
      <c r="F278" s="7">
        <f t="shared" ref="F278" si="42">SUM(G278:I278)</f>
        <v>13024.8</v>
      </c>
      <c r="G278" s="7"/>
      <c r="H278" s="7">
        <v>1487.8</v>
      </c>
      <c r="I278" s="7">
        <v>11537</v>
      </c>
      <c r="J278" s="14"/>
      <c r="K278" s="240"/>
      <c r="L278" s="28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F278" s="28"/>
    </row>
    <row r="279" spans="1:32" ht="36" customHeight="1" x14ac:dyDescent="0.2">
      <c r="A279" s="319"/>
      <c r="B279" s="294"/>
      <c r="C279" s="237"/>
      <c r="D279" s="283"/>
      <c r="E279" s="26" t="s">
        <v>18</v>
      </c>
      <c r="F279" s="9">
        <f>SUM(F268:F278)</f>
        <v>416992.80000000005</v>
      </c>
      <c r="G279" s="9"/>
      <c r="H279" s="9">
        <f>SUM(H268:H278)</f>
        <v>8679.9</v>
      </c>
      <c r="I279" s="9">
        <f>SUM(I268:I278)</f>
        <v>408312.89999999997</v>
      </c>
      <c r="J279" s="22"/>
      <c r="K279" s="241"/>
    </row>
    <row r="280" spans="1:32" ht="12.75" customHeight="1" x14ac:dyDescent="0.25">
      <c r="A280" s="319" t="s">
        <v>265</v>
      </c>
      <c r="B280" s="251" t="s">
        <v>248</v>
      </c>
      <c r="C280" s="237" t="s">
        <v>61</v>
      </c>
      <c r="D280" s="283" t="s">
        <v>207</v>
      </c>
      <c r="E280" s="222">
        <v>2017</v>
      </c>
      <c r="F280" s="7">
        <f t="shared" ref="F280:F283" si="43">SUM(G280:I280)</f>
        <v>4240.7</v>
      </c>
      <c r="G280" s="7"/>
      <c r="H280" s="7"/>
      <c r="I280" s="7">
        <f>4186+54.7</f>
        <v>4240.7</v>
      </c>
      <c r="J280" s="14"/>
      <c r="K280" s="239" t="s">
        <v>255</v>
      </c>
      <c r="L280" s="104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F280" s="28"/>
    </row>
    <row r="281" spans="1:32" ht="12.75" customHeight="1" x14ac:dyDescent="0.2">
      <c r="A281" s="319"/>
      <c r="B281" s="294"/>
      <c r="C281" s="237"/>
      <c r="D281" s="283"/>
      <c r="E281" s="222">
        <v>2018</v>
      </c>
      <c r="F281" s="14">
        <f t="shared" si="43"/>
        <v>0</v>
      </c>
      <c r="G281" s="14"/>
      <c r="H281" s="14"/>
      <c r="I281" s="14"/>
      <c r="J281" s="14"/>
      <c r="K281" s="240"/>
      <c r="L281" s="46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F281" s="28"/>
    </row>
    <row r="282" spans="1:32" ht="12.75" customHeight="1" x14ac:dyDescent="0.2">
      <c r="A282" s="319"/>
      <c r="B282" s="294"/>
      <c r="C282" s="237"/>
      <c r="D282" s="283"/>
      <c r="E282" s="222">
        <v>2019</v>
      </c>
      <c r="F282" s="14">
        <f t="shared" si="43"/>
        <v>0</v>
      </c>
      <c r="G282" s="14"/>
      <c r="H282" s="14"/>
      <c r="I282" s="14"/>
      <c r="J282" s="14"/>
      <c r="K282" s="240"/>
      <c r="L282" s="104"/>
      <c r="M282" s="104" t="s">
        <v>237</v>
      </c>
      <c r="N282" s="28"/>
      <c r="O282" s="28"/>
      <c r="P282" s="104"/>
      <c r="Q282" s="28"/>
      <c r="R282" s="28"/>
      <c r="S282" s="28"/>
      <c r="T282" s="28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F282" s="28"/>
    </row>
    <row r="283" spans="1:32" ht="12.75" customHeight="1" x14ac:dyDescent="0.2">
      <c r="A283" s="319"/>
      <c r="B283" s="294"/>
      <c r="C283" s="237"/>
      <c r="D283" s="283"/>
      <c r="E283" s="222">
        <v>2020</v>
      </c>
      <c r="F283" s="14">
        <f t="shared" si="43"/>
        <v>0</v>
      </c>
      <c r="G283" s="14"/>
      <c r="H283" s="14"/>
      <c r="I283" s="14"/>
      <c r="J283" s="14"/>
      <c r="K283" s="240"/>
      <c r="L283" s="104"/>
      <c r="M283" s="104" t="s">
        <v>238</v>
      </c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F283" s="28"/>
    </row>
    <row r="284" spans="1:32" ht="36" customHeight="1" x14ac:dyDescent="0.2">
      <c r="A284" s="319"/>
      <c r="B284" s="294"/>
      <c r="C284" s="237"/>
      <c r="D284" s="283"/>
      <c r="E284" s="26" t="s">
        <v>18</v>
      </c>
      <c r="F284" s="9">
        <f>SUM(F280:F283)</f>
        <v>4240.7</v>
      </c>
      <c r="G284" s="9"/>
      <c r="H284" s="9"/>
      <c r="I284" s="9">
        <f>SUM(I280:I283)</f>
        <v>4240.7</v>
      </c>
      <c r="J284" s="22"/>
      <c r="K284" s="241"/>
      <c r="N284" s="99" t="s">
        <v>323</v>
      </c>
      <c r="P284" s="99" t="s">
        <v>324</v>
      </c>
    </row>
    <row r="285" spans="1:32" ht="12.75" customHeight="1" x14ac:dyDescent="0.25">
      <c r="A285" s="319" t="s">
        <v>273</v>
      </c>
      <c r="B285" s="251" t="s">
        <v>249</v>
      </c>
      <c r="C285" s="237" t="s">
        <v>404</v>
      </c>
      <c r="D285" s="283" t="s">
        <v>207</v>
      </c>
      <c r="E285" s="222">
        <v>2017</v>
      </c>
      <c r="F285" s="7">
        <f t="shared" ref="F285:F288" si="44">SUM(G285:I285)</f>
        <v>50179.899999999994</v>
      </c>
      <c r="G285" s="7"/>
      <c r="H285" s="7">
        <f>39366.1+2524.5-9876.8</f>
        <v>32013.8</v>
      </c>
      <c r="I285" s="7">
        <f>19299.3-1133.2</f>
        <v>18166.099999999999</v>
      </c>
      <c r="J285" s="14"/>
      <c r="K285" s="283" t="s">
        <v>256</v>
      </c>
      <c r="L285" s="104" t="s">
        <v>343</v>
      </c>
      <c r="M285" s="104" t="s">
        <v>342</v>
      </c>
      <c r="N285" s="28"/>
      <c r="O285" s="28"/>
      <c r="P285" s="104" t="s">
        <v>344</v>
      </c>
      <c r="Q285" s="28"/>
      <c r="R285" s="104" t="s">
        <v>327</v>
      </c>
      <c r="S285" s="28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F285" s="28"/>
    </row>
    <row r="286" spans="1:32" ht="12.75" customHeight="1" x14ac:dyDescent="0.25">
      <c r="A286" s="319"/>
      <c r="B286" s="294"/>
      <c r="C286" s="237"/>
      <c r="D286" s="283"/>
      <c r="E286" s="222">
        <v>2018</v>
      </c>
      <c r="F286" s="7">
        <f t="shared" si="44"/>
        <v>55056.1</v>
      </c>
      <c r="G286" s="7"/>
      <c r="H286" s="7">
        <f>45376.8-6129.8</f>
        <v>39247</v>
      </c>
      <c r="I286" s="7">
        <f>14056.7+1752.4</f>
        <v>15809.1</v>
      </c>
      <c r="J286" s="14"/>
      <c r="K286" s="283"/>
      <c r="L286" s="46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F286" s="28"/>
    </row>
    <row r="287" spans="1:32" ht="12.75" customHeight="1" x14ac:dyDescent="0.25">
      <c r="A287" s="319"/>
      <c r="B287" s="294"/>
      <c r="C287" s="237"/>
      <c r="D287" s="283"/>
      <c r="E287" s="222">
        <v>2019</v>
      </c>
      <c r="F287" s="7">
        <f t="shared" si="44"/>
        <v>49038.400000000001</v>
      </c>
      <c r="G287" s="7"/>
      <c r="H287" s="7">
        <f>42020.2-3581.2-269.7</f>
        <v>38169.300000000003</v>
      </c>
      <c r="I287" s="7">
        <f>10138-21.4+752.5</f>
        <v>10869.1</v>
      </c>
      <c r="J287" s="14"/>
      <c r="K287" s="283"/>
      <c r="L287" s="104"/>
      <c r="M287" s="104" t="s">
        <v>237</v>
      </c>
      <c r="N287" s="28"/>
      <c r="O287" s="28"/>
      <c r="P287" s="104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F287" s="28"/>
    </row>
    <row r="288" spans="1:32" ht="12.75" customHeight="1" x14ac:dyDescent="0.25">
      <c r="A288" s="319"/>
      <c r="B288" s="294"/>
      <c r="C288" s="237"/>
      <c r="D288" s="283"/>
      <c r="E288" s="222">
        <v>2020</v>
      </c>
      <c r="F288" s="7">
        <f t="shared" si="44"/>
        <v>57877.599999999999</v>
      </c>
      <c r="G288" s="7"/>
      <c r="H288" s="7">
        <f>42349.7+4621.3</f>
        <v>46971</v>
      </c>
      <c r="I288" s="7">
        <v>10906.6</v>
      </c>
      <c r="J288" s="14"/>
      <c r="K288" s="283"/>
      <c r="L288" s="104"/>
      <c r="M288" s="104" t="s">
        <v>238</v>
      </c>
      <c r="N288" s="28"/>
      <c r="O288" s="28"/>
      <c r="P288" s="28"/>
      <c r="Q288" s="28"/>
      <c r="R288" s="124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F288" s="28"/>
    </row>
    <row r="289" spans="1:32" ht="12.75" customHeight="1" x14ac:dyDescent="0.25">
      <c r="A289" s="319"/>
      <c r="B289" s="294"/>
      <c r="C289" s="237"/>
      <c r="D289" s="283"/>
      <c r="E289" s="222">
        <v>2021</v>
      </c>
      <c r="F289" s="7">
        <f t="shared" ref="F289:F292" si="45">SUM(G289:I289)</f>
        <v>38939.5</v>
      </c>
      <c r="G289" s="7"/>
      <c r="H289" s="7">
        <f>42710-3770.5</f>
        <v>38939.5</v>
      </c>
      <c r="I289" s="7">
        <v>0</v>
      </c>
      <c r="J289" s="14"/>
      <c r="K289" s="283"/>
      <c r="L289" s="104" t="s">
        <v>343</v>
      </c>
      <c r="M289" s="104" t="s">
        <v>342</v>
      </c>
      <c r="N289" s="28"/>
      <c r="O289" s="28"/>
      <c r="P289" s="104" t="s">
        <v>344</v>
      </c>
      <c r="Q289" s="28"/>
      <c r="R289" s="104" t="s">
        <v>327</v>
      </c>
      <c r="S289" s="28"/>
      <c r="T289" s="28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F289" s="28"/>
    </row>
    <row r="290" spans="1:32" ht="12.75" customHeight="1" x14ac:dyDescent="0.25">
      <c r="A290" s="319"/>
      <c r="B290" s="294"/>
      <c r="C290" s="237"/>
      <c r="D290" s="283"/>
      <c r="E290" s="222">
        <v>2022</v>
      </c>
      <c r="F290" s="7">
        <f t="shared" si="45"/>
        <v>38939.5</v>
      </c>
      <c r="G290" s="7"/>
      <c r="H290" s="7">
        <f>45300-6360.5</f>
        <v>38939.5</v>
      </c>
      <c r="I290" s="7">
        <v>0</v>
      </c>
      <c r="J290" s="14"/>
      <c r="K290" s="283"/>
      <c r="L290" s="46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F290" s="28"/>
    </row>
    <row r="291" spans="1:32" ht="12.75" customHeight="1" x14ac:dyDescent="0.25">
      <c r="A291" s="319"/>
      <c r="B291" s="294"/>
      <c r="C291" s="237"/>
      <c r="D291" s="283"/>
      <c r="E291" s="222">
        <v>2023</v>
      </c>
      <c r="F291" s="7">
        <f t="shared" si="45"/>
        <v>47383.8</v>
      </c>
      <c r="G291" s="7"/>
      <c r="H291" s="7">
        <v>47383.8</v>
      </c>
      <c r="I291" s="7">
        <v>0</v>
      </c>
      <c r="J291" s="14"/>
      <c r="K291" s="283"/>
      <c r="L291" s="104"/>
      <c r="M291" s="104" t="s">
        <v>237</v>
      </c>
      <c r="N291" s="28"/>
      <c r="O291" s="28"/>
      <c r="P291" s="104"/>
      <c r="Q291" s="28"/>
      <c r="R291" s="28"/>
      <c r="S291" s="28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F291" s="28"/>
    </row>
    <row r="292" spans="1:32" ht="12.75" customHeight="1" x14ac:dyDescent="0.25">
      <c r="A292" s="319"/>
      <c r="B292" s="294"/>
      <c r="C292" s="237"/>
      <c r="D292" s="283"/>
      <c r="E292" s="222">
        <v>2024</v>
      </c>
      <c r="F292" s="7">
        <f t="shared" si="45"/>
        <v>49563.5</v>
      </c>
      <c r="G292" s="7"/>
      <c r="H292" s="7">
        <v>49563.5</v>
      </c>
      <c r="I292" s="7">
        <v>0</v>
      </c>
      <c r="J292" s="14"/>
      <c r="K292" s="283"/>
      <c r="L292" s="104"/>
      <c r="M292" s="104" t="s">
        <v>238</v>
      </c>
      <c r="N292" s="28"/>
      <c r="O292" s="28"/>
      <c r="P292" s="28"/>
      <c r="Q292" s="28"/>
      <c r="R292" s="124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F292" s="28"/>
    </row>
    <row r="293" spans="1:32" ht="12.75" customHeight="1" x14ac:dyDescent="0.25">
      <c r="A293" s="319"/>
      <c r="B293" s="294"/>
      <c r="C293" s="237"/>
      <c r="D293" s="283"/>
      <c r="E293" s="222">
        <v>2025</v>
      </c>
      <c r="F293" s="7">
        <f t="shared" ref="F293" si="46">SUM(G293:I293)</f>
        <v>51843.4</v>
      </c>
      <c r="G293" s="7"/>
      <c r="H293" s="7">
        <v>51843.4</v>
      </c>
      <c r="I293" s="7">
        <v>0</v>
      </c>
      <c r="J293" s="14"/>
      <c r="K293" s="283"/>
      <c r="L293" s="104"/>
      <c r="M293" s="104" t="s">
        <v>238</v>
      </c>
      <c r="N293" s="28"/>
      <c r="O293" s="28"/>
      <c r="P293" s="28"/>
      <c r="Q293" s="28"/>
      <c r="R293" s="124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F293" s="28"/>
    </row>
    <row r="294" spans="1:32" ht="36" customHeight="1" x14ac:dyDescent="0.2">
      <c r="A294" s="319"/>
      <c r="B294" s="294"/>
      <c r="C294" s="237"/>
      <c r="D294" s="283"/>
      <c r="E294" s="18" t="s">
        <v>18</v>
      </c>
      <c r="F294" s="8">
        <f>SUM(F285:F293)</f>
        <v>438821.7</v>
      </c>
      <c r="G294" s="8"/>
      <c r="H294" s="8">
        <f>SUM(H285:H293)</f>
        <v>383070.80000000005</v>
      </c>
      <c r="I294" s="8">
        <f>SUM(I285:I293)</f>
        <v>55750.899999999994</v>
      </c>
      <c r="J294" s="14"/>
      <c r="K294" s="283"/>
    </row>
    <row r="295" spans="1:32" ht="12.75" customHeight="1" x14ac:dyDescent="0.25">
      <c r="A295" s="328" t="s">
        <v>291</v>
      </c>
      <c r="B295" s="293" t="s">
        <v>293</v>
      </c>
      <c r="C295" s="237" t="s">
        <v>404</v>
      </c>
      <c r="D295" s="283" t="s">
        <v>207</v>
      </c>
      <c r="E295" s="222">
        <v>2017</v>
      </c>
      <c r="F295" s="7">
        <f t="shared" ref="F295:F298" si="47">SUM(G295:I295)</f>
        <v>7165.3</v>
      </c>
      <c r="G295" s="7"/>
      <c r="H295" s="7"/>
      <c r="I295" s="7">
        <v>7165.3</v>
      </c>
      <c r="J295" s="14"/>
      <c r="K295" s="323" t="s">
        <v>376</v>
      </c>
      <c r="L295" s="104" t="s">
        <v>360</v>
      </c>
      <c r="M295" s="104"/>
      <c r="N295" s="104" t="s">
        <v>341</v>
      </c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F295" s="28"/>
    </row>
    <row r="296" spans="1:32" ht="12.75" customHeight="1" x14ac:dyDescent="0.25">
      <c r="A296" s="328"/>
      <c r="B296" s="329"/>
      <c r="C296" s="237"/>
      <c r="D296" s="283"/>
      <c r="E296" s="222">
        <v>2018</v>
      </c>
      <c r="F296" s="7">
        <f t="shared" si="47"/>
        <v>5450</v>
      </c>
      <c r="G296" s="7"/>
      <c r="H296" s="7"/>
      <c r="I296" s="7">
        <v>5450</v>
      </c>
      <c r="J296" s="14"/>
      <c r="K296" s="324"/>
      <c r="L296" s="46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F296" s="28"/>
    </row>
    <row r="297" spans="1:32" ht="12.75" customHeight="1" x14ac:dyDescent="0.25">
      <c r="A297" s="328"/>
      <c r="B297" s="329"/>
      <c r="C297" s="237"/>
      <c r="D297" s="283"/>
      <c r="E297" s="222">
        <v>2019</v>
      </c>
      <c r="F297" s="7">
        <f t="shared" si="47"/>
        <v>7094.4</v>
      </c>
      <c r="G297" s="7"/>
      <c r="H297" s="7"/>
      <c r="I297" s="7">
        <f>6500+494.4+100</f>
        <v>7094.4</v>
      </c>
      <c r="J297" s="14"/>
      <c r="K297" s="324"/>
      <c r="L297" s="104"/>
      <c r="M297" s="104"/>
      <c r="N297" s="28"/>
      <c r="O297" s="28"/>
      <c r="P297" s="104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F297" s="28"/>
    </row>
    <row r="298" spans="1:32" ht="12.75" customHeight="1" x14ac:dyDescent="0.25">
      <c r="A298" s="328"/>
      <c r="B298" s="329"/>
      <c r="C298" s="237"/>
      <c r="D298" s="283"/>
      <c r="E298" s="222">
        <v>2020</v>
      </c>
      <c r="F298" s="7">
        <f t="shared" si="47"/>
        <v>7000</v>
      </c>
      <c r="G298" s="7"/>
      <c r="H298" s="7"/>
      <c r="I298" s="7">
        <v>7000</v>
      </c>
      <c r="J298" s="14"/>
      <c r="K298" s="324"/>
      <c r="L298" s="104"/>
      <c r="M298" s="104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F298" s="28"/>
    </row>
    <row r="299" spans="1:32" ht="12.75" customHeight="1" x14ac:dyDescent="0.25">
      <c r="A299" s="328"/>
      <c r="B299" s="329"/>
      <c r="C299" s="237"/>
      <c r="D299" s="283"/>
      <c r="E299" s="222">
        <v>2021</v>
      </c>
      <c r="F299" s="7">
        <f t="shared" ref="F299:F302" si="48">SUM(G299:I299)</f>
        <v>0</v>
      </c>
      <c r="G299" s="7"/>
      <c r="H299" s="7"/>
      <c r="I299" s="7">
        <v>0</v>
      </c>
      <c r="J299" s="14"/>
      <c r="K299" s="324"/>
      <c r="L299" s="104" t="s">
        <v>360</v>
      </c>
      <c r="M299" s="104"/>
      <c r="N299" s="104" t="s">
        <v>341</v>
      </c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F299" s="28"/>
    </row>
    <row r="300" spans="1:32" ht="12.75" customHeight="1" x14ac:dyDescent="0.25">
      <c r="A300" s="328"/>
      <c r="B300" s="329"/>
      <c r="C300" s="237"/>
      <c r="D300" s="283"/>
      <c r="E300" s="222">
        <v>2022</v>
      </c>
      <c r="F300" s="7">
        <f t="shared" si="48"/>
        <v>0</v>
      </c>
      <c r="G300" s="7"/>
      <c r="H300" s="7"/>
      <c r="I300" s="7">
        <v>0</v>
      </c>
      <c r="J300" s="14"/>
      <c r="K300" s="324"/>
      <c r="L300" s="46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F300" s="28"/>
    </row>
    <row r="301" spans="1:32" ht="12.75" customHeight="1" x14ac:dyDescent="0.25">
      <c r="A301" s="328"/>
      <c r="B301" s="329"/>
      <c r="C301" s="237"/>
      <c r="D301" s="283"/>
      <c r="E301" s="222">
        <v>2023</v>
      </c>
      <c r="F301" s="7">
        <f t="shared" si="48"/>
        <v>0</v>
      </c>
      <c r="G301" s="7"/>
      <c r="H301" s="7"/>
      <c r="I301" s="7">
        <v>0</v>
      </c>
      <c r="J301" s="14"/>
      <c r="K301" s="324"/>
      <c r="L301" s="104"/>
      <c r="M301" s="104"/>
      <c r="N301" s="28"/>
      <c r="O301" s="28"/>
      <c r="P301" s="104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F301" s="28"/>
    </row>
    <row r="302" spans="1:32" ht="12.75" customHeight="1" x14ac:dyDescent="0.25">
      <c r="A302" s="328"/>
      <c r="B302" s="329"/>
      <c r="C302" s="237"/>
      <c r="D302" s="283"/>
      <c r="E302" s="222">
        <v>2024</v>
      </c>
      <c r="F302" s="7">
        <f t="shared" si="48"/>
        <v>0</v>
      </c>
      <c r="G302" s="7"/>
      <c r="H302" s="7"/>
      <c r="I302" s="7">
        <v>0</v>
      </c>
      <c r="J302" s="14"/>
      <c r="K302" s="324"/>
      <c r="L302" s="104"/>
      <c r="M302" s="104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F302" s="28"/>
    </row>
    <row r="303" spans="1:32" ht="12.75" customHeight="1" x14ac:dyDescent="0.25">
      <c r="A303" s="328"/>
      <c r="B303" s="329"/>
      <c r="C303" s="237"/>
      <c r="D303" s="283"/>
      <c r="E303" s="222">
        <v>2025</v>
      </c>
      <c r="F303" s="7">
        <f t="shared" ref="F303" si="49">SUM(G303:I303)</f>
        <v>0</v>
      </c>
      <c r="G303" s="7"/>
      <c r="H303" s="7"/>
      <c r="I303" s="7">
        <v>0</v>
      </c>
      <c r="J303" s="14"/>
      <c r="K303" s="324"/>
      <c r="L303" s="104"/>
      <c r="M303" s="104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F303" s="28"/>
    </row>
    <row r="304" spans="1:32" ht="36" customHeight="1" x14ac:dyDescent="0.2">
      <c r="A304" s="328"/>
      <c r="B304" s="329"/>
      <c r="C304" s="237"/>
      <c r="D304" s="283"/>
      <c r="E304" s="26" t="s">
        <v>18</v>
      </c>
      <c r="F304" s="9">
        <f>SUM(F295:F303)</f>
        <v>26709.699999999997</v>
      </c>
      <c r="G304" s="9"/>
      <c r="H304" s="9"/>
      <c r="I304" s="9">
        <f>SUM(I295:I303)</f>
        <v>26709.699999999997</v>
      </c>
      <c r="J304" s="22"/>
      <c r="K304" s="325"/>
    </row>
    <row r="305" spans="1:36" ht="16.5" customHeight="1" x14ac:dyDescent="0.2">
      <c r="A305" s="317" t="s">
        <v>208</v>
      </c>
      <c r="B305" s="320"/>
      <c r="C305" s="320"/>
      <c r="D305" s="320"/>
      <c r="E305" s="18" t="s">
        <v>18</v>
      </c>
      <c r="F305" s="140">
        <f>F304+F294+F284+F279+F266+F259+F250+F248+F246+F243+F241+F237+F227+F222+F219</f>
        <v>1296027.2</v>
      </c>
      <c r="G305" s="151"/>
      <c r="H305" s="140">
        <f>H219+H222+H227+H237+H241+H243+H246+H248+H259+H266+H279+H284+H294+H491+H304+H250</f>
        <v>717011.60000000009</v>
      </c>
      <c r="I305" s="140">
        <f>I304+I294+I284+I279+I266+I259+I250+I248+I246+I243+I241+I237+I227+I222+I219</f>
        <v>579015.6</v>
      </c>
      <c r="J305" s="90"/>
      <c r="K305" s="89"/>
      <c r="L305" s="126"/>
      <c r="M305" s="127"/>
      <c r="N305" s="127"/>
      <c r="O305" s="99"/>
    </row>
    <row r="306" spans="1:36" ht="18.75" customHeight="1" x14ac:dyDescent="0.25">
      <c r="A306" s="321" t="s">
        <v>62</v>
      </c>
      <c r="B306" s="321"/>
      <c r="C306" s="321"/>
      <c r="D306" s="321"/>
      <c r="E306" s="321"/>
      <c r="F306" s="321"/>
      <c r="G306" s="321"/>
      <c r="H306" s="321"/>
      <c r="I306" s="321"/>
      <c r="J306" s="321"/>
      <c r="K306" s="321"/>
    </row>
    <row r="307" spans="1:36" ht="31.5" customHeight="1" x14ac:dyDescent="0.2">
      <c r="A307" s="322" t="s">
        <v>63</v>
      </c>
      <c r="B307" s="320"/>
      <c r="C307" s="320"/>
      <c r="D307" s="320"/>
      <c r="E307" s="320"/>
      <c r="F307" s="320"/>
      <c r="G307" s="320"/>
      <c r="H307" s="320"/>
      <c r="I307" s="320"/>
      <c r="J307" s="320"/>
      <c r="K307" s="320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  <c r="AA307" s="47"/>
      <c r="AB307" s="47"/>
      <c r="AC307" s="47"/>
      <c r="AD307" s="47"/>
      <c r="AE307" s="47"/>
      <c r="AF307" s="47"/>
      <c r="AG307" s="28"/>
      <c r="AH307" s="28"/>
      <c r="AI307" s="28"/>
      <c r="AJ307" s="28"/>
    </row>
    <row r="308" spans="1:36" ht="15" x14ac:dyDescent="0.25">
      <c r="A308" s="319" t="s">
        <v>64</v>
      </c>
      <c r="B308" s="326" t="s">
        <v>223</v>
      </c>
      <c r="C308" s="296" t="s">
        <v>403</v>
      </c>
      <c r="D308" s="239" t="s">
        <v>207</v>
      </c>
      <c r="E308" s="222">
        <v>2015</v>
      </c>
      <c r="F308" s="7">
        <f t="shared" ref="F308:F313" si="50">SUM(G308:J308)</f>
        <v>471461.89999999997</v>
      </c>
      <c r="G308" s="7"/>
      <c r="H308" s="7">
        <f>457488.8+13973.1</f>
        <v>471461.89999999997</v>
      </c>
      <c r="I308" s="14"/>
      <c r="J308" s="14"/>
      <c r="K308" s="239" t="s">
        <v>250</v>
      </c>
    </row>
    <row r="309" spans="1:36" ht="15" x14ac:dyDescent="0.25">
      <c r="A309" s="319"/>
      <c r="B309" s="316"/>
      <c r="C309" s="253"/>
      <c r="D309" s="240"/>
      <c r="E309" s="222">
        <v>2016</v>
      </c>
      <c r="F309" s="7">
        <f t="shared" si="50"/>
        <v>485636.2</v>
      </c>
      <c r="G309" s="7"/>
      <c r="H309" s="7">
        <f>503346-17709.8</f>
        <v>485636.2</v>
      </c>
      <c r="I309" s="14"/>
      <c r="J309" s="14"/>
      <c r="K309" s="240"/>
      <c r="L309" s="99"/>
    </row>
    <row r="310" spans="1:36" ht="15" x14ac:dyDescent="0.25">
      <c r="A310" s="319"/>
      <c r="B310" s="316"/>
      <c r="C310" s="253"/>
      <c r="D310" s="240"/>
      <c r="E310" s="222">
        <v>2017</v>
      </c>
      <c r="F310" s="7">
        <f t="shared" si="50"/>
        <v>490057.5</v>
      </c>
      <c r="G310" s="7"/>
      <c r="H310" s="7">
        <f>478983.8+11073.7</f>
        <v>490057.5</v>
      </c>
      <c r="I310" s="14"/>
      <c r="J310" s="14"/>
      <c r="K310" s="240"/>
      <c r="L310" s="99"/>
      <c r="M310" s="106"/>
      <c r="N310" s="99" t="s">
        <v>338</v>
      </c>
      <c r="P310" s="99" t="s">
        <v>339</v>
      </c>
    </row>
    <row r="311" spans="1:36" ht="15" x14ac:dyDescent="0.25">
      <c r="A311" s="319"/>
      <c r="B311" s="316"/>
      <c r="C311" s="253"/>
      <c r="D311" s="240"/>
      <c r="E311" s="222">
        <v>2018</v>
      </c>
      <c r="F311" s="7">
        <f t="shared" si="50"/>
        <v>566597.30000000005</v>
      </c>
      <c r="G311" s="7"/>
      <c r="H311" s="7">
        <f>524988.5+32092</f>
        <v>557080.5</v>
      </c>
      <c r="I311" s="7">
        <f>18868.4-9351.6</f>
        <v>9516.8000000000011</v>
      </c>
      <c r="J311" s="14"/>
      <c r="K311" s="240"/>
      <c r="L311" s="99"/>
      <c r="M311" s="106"/>
      <c r="N311" s="99" t="s">
        <v>240</v>
      </c>
    </row>
    <row r="312" spans="1:36" ht="15" x14ac:dyDescent="0.25">
      <c r="A312" s="319"/>
      <c r="B312" s="316"/>
      <c r="C312" s="253"/>
      <c r="D312" s="240"/>
      <c r="E312" s="222">
        <v>2019</v>
      </c>
      <c r="F312" s="7">
        <f t="shared" si="50"/>
        <v>671672</v>
      </c>
      <c r="G312" s="7"/>
      <c r="H312" s="7">
        <f>632734.1+18649.7+17030.3</f>
        <v>668414.1</v>
      </c>
      <c r="I312" s="7">
        <f>4190+164-1096.1</f>
        <v>3257.9</v>
      </c>
      <c r="J312" s="14"/>
      <c r="K312" s="240"/>
      <c r="L312" s="99"/>
      <c r="M312" s="106"/>
      <c r="N312" s="99" t="s">
        <v>241</v>
      </c>
    </row>
    <row r="313" spans="1:36" ht="15" x14ac:dyDescent="0.25">
      <c r="A313" s="319"/>
      <c r="B313" s="316"/>
      <c r="C313" s="253"/>
      <c r="D313" s="240"/>
      <c r="E313" s="222">
        <v>2020</v>
      </c>
      <c r="F313" s="7">
        <f t="shared" si="50"/>
        <v>663494.9</v>
      </c>
      <c r="G313" s="7"/>
      <c r="H313" s="7">
        <f>683135.5-24547.5</f>
        <v>658588</v>
      </c>
      <c r="I313" s="7">
        <f>4190+716.9</f>
        <v>4906.8999999999996</v>
      </c>
      <c r="J313" s="14"/>
      <c r="K313" s="240"/>
      <c r="L313" s="28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F313" s="28"/>
    </row>
    <row r="314" spans="1:36" ht="15" x14ac:dyDescent="0.25">
      <c r="A314" s="319"/>
      <c r="B314" s="316"/>
      <c r="C314" s="253"/>
      <c r="D314" s="240"/>
      <c r="E314" s="222">
        <v>2021</v>
      </c>
      <c r="F314" s="7">
        <f t="shared" ref="F314:F318" si="51">SUM(G314:J314)</f>
        <v>725902.8</v>
      </c>
      <c r="G314" s="7"/>
      <c r="H314" s="7">
        <f>728692.5-7796.6</f>
        <v>720895.9</v>
      </c>
      <c r="I314" s="7">
        <f>4190+816.9</f>
        <v>5006.8999999999996</v>
      </c>
      <c r="J314" s="14"/>
      <c r="K314" s="240"/>
    </row>
    <row r="315" spans="1:36" ht="15" x14ac:dyDescent="0.25">
      <c r="A315" s="319"/>
      <c r="B315" s="316"/>
      <c r="C315" s="253"/>
      <c r="D315" s="240"/>
      <c r="E315" s="222">
        <v>2022</v>
      </c>
      <c r="F315" s="7">
        <f t="shared" si="51"/>
        <v>695614.1</v>
      </c>
      <c r="G315" s="7"/>
      <c r="H315" s="7">
        <f>790000-98757.9</f>
        <v>691242.1</v>
      </c>
      <c r="I315" s="7">
        <f>4373.7-1.7</f>
        <v>4372</v>
      </c>
      <c r="J315" s="14"/>
      <c r="K315" s="240"/>
      <c r="L315" s="99"/>
    </row>
    <row r="316" spans="1:36" ht="15" x14ac:dyDescent="0.25">
      <c r="A316" s="319"/>
      <c r="B316" s="316"/>
      <c r="C316" s="253"/>
      <c r="D316" s="240"/>
      <c r="E316" s="222">
        <v>2023</v>
      </c>
      <c r="F316" s="7">
        <f t="shared" si="51"/>
        <v>830888.6</v>
      </c>
      <c r="G316" s="7"/>
      <c r="H316" s="7">
        <v>826340</v>
      </c>
      <c r="I316" s="7">
        <v>4548.6000000000004</v>
      </c>
      <c r="J316" s="14"/>
      <c r="K316" s="240"/>
      <c r="L316" s="99"/>
      <c r="M316" s="106"/>
      <c r="N316" s="99" t="s">
        <v>338</v>
      </c>
      <c r="P316" s="99" t="s">
        <v>339</v>
      </c>
    </row>
    <row r="317" spans="1:36" ht="15" x14ac:dyDescent="0.25">
      <c r="A317" s="319"/>
      <c r="B317" s="316"/>
      <c r="C317" s="253"/>
      <c r="D317" s="240"/>
      <c r="E317" s="222">
        <v>2024</v>
      </c>
      <c r="F317" s="7">
        <f t="shared" si="51"/>
        <v>869082.2</v>
      </c>
      <c r="G317" s="7"/>
      <c r="H317" s="7">
        <v>864351.6</v>
      </c>
      <c r="I317" s="7">
        <v>4730.6000000000004</v>
      </c>
      <c r="J317" s="14"/>
      <c r="K317" s="240"/>
      <c r="L317" s="99"/>
      <c r="M317" s="106"/>
      <c r="N317" s="99" t="s">
        <v>240</v>
      </c>
    </row>
    <row r="318" spans="1:36" ht="15" x14ac:dyDescent="0.25">
      <c r="A318" s="319"/>
      <c r="B318" s="316"/>
      <c r="C318" s="253"/>
      <c r="D318" s="240"/>
      <c r="E318" s="222">
        <v>2025</v>
      </c>
      <c r="F318" s="7">
        <f t="shared" si="51"/>
        <v>909031.60000000009</v>
      </c>
      <c r="G318" s="7"/>
      <c r="H318" s="7">
        <v>904111.8</v>
      </c>
      <c r="I318" s="7">
        <v>4919.8</v>
      </c>
      <c r="J318" s="14"/>
      <c r="K318" s="240"/>
      <c r="L318" s="99"/>
      <c r="M318" s="106"/>
      <c r="N318" s="99" t="s">
        <v>241</v>
      </c>
    </row>
    <row r="319" spans="1:36" ht="66" customHeight="1" x14ac:dyDescent="0.2">
      <c r="A319" s="319"/>
      <c r="B319" s="327"/>
      <c r="C319" s="281"/>
      <c r="D319" s="240"/>
      <c r="E319" s="18" t="s">
        <v>18</v>
      </c>
      <c r="F319" s="8">
        <f>SUM(F308:F318)</f>
        <v>7379439.0999999996</v>
      </c>
      <c r="G319" s="8"/>
      <c r="H319" s="8">
        <f>SUM(H308:H318)</f>
        <v>7338179.5999999996</v>
      </c>
      <c r="I319" s="8">
        <f>SUM(I308:I318)</f>
        <v>41259.5</v>
      </c>
      <c r="J319" s="13"/>
      <c r="K319" s="241"/>
      <c r="L319" s="28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F319" s="28"/>
    </row>
    <row r="320" spans="1:36" ht="15" x14ac:dyDescent="0.25">
      <c r="A320" s="319" t="s">
        <v>274</v>
      </c>
      <c r="B320" s="326" t="s">
        <v>251</v>
      </c>
      <c r="C320" s="296" t="s">
        <v>403</v>
      </c>
      <c r="D320" s="239" t="s">
        <v>207</v>
      </c>
      <c r="E320" s="222">
        <v>2017</v>
      </c>
      <c r="F320" s="7">
        <f t="shared" ref="F320:F323" si="52">SUM(G320:J320)</f>
        <v>2812.9</v>
      </c>
      <c r="G320" s="7"/>
      <c r="H320" s="7">
        <f>3265.6-452.7</f>
        <v>2812.9</v>
      </c>
      <c r="I320" s="14"/>
      <c r="J320" s="14"/>
      <c r="K320" s="239" t="s">
        <v>258</v>
      </c>
      <c r="L320" s="99"/>
    </row>
    <row r="321" spans="1:32" ht="15" x14ac:dyDescent="0.25">
      <c r="A321" s="319"/>
      <c r="B321" s="316"/>
      <c r="C321" s="253"/>
      <c r="D321" s="240"/>
      <c r="E321" s="222">
        <v>2018</v>
      </c>
      <c r="F321" s="7">
        <f t="shared" si="52"/>
        <v>2826.4</v>
      </c>
      <c r="G321" s="7"/>
      <c r="H321" s="7">
        <f>3504-677.6</f>
        <v>2826.4</v>
      </c>
      <c r="I321" s="14"/>
      <c r="J321" s="14"/>
      <c r="K321" s="240"/>
      <c r="L321" s="99"/>
    </row>
    <row r="322" spans="1:32" ht="15" x14ac:dyDescent="0.25">
      <c r="A322" s="319"/>
      <c r="B322" s="316"/>
      <c r="C322" s="253"/>
      <c r="D322" s="240"/>
      <c r="E322" s="222">
        <v>2019</v>
      </c>
      <c r="F322" s="7">
        <f t="shared" si="52"/>
        <v>3268.5999999999995</v>
      </c>
      <c r="G322" s="7"/>
      <c r="H322" s="7">
        <f>2389.2+819.7+59.7</f>
        <v>3268.5999999999995</v>
      </c>
      <c r="I322" s="14"/>
      <c r="J322" s="14"/>
      <c r="K322" s="240"/>
      <c r="L322" s="99"/>
      <c r="M322" s="106"/>
      <c r="N322" s="99" t="s">
        <v>239</v>
      </c>
    </row>
    <row r="323" spans="1:32" ht="15" x14ac:dyDescent="0.25">
      <c r="A323" s="319"/>
      <c r="B323" s="316"/>
      <c r="C323" s="253"/>
      <c r="D323" s="240"/>
      <c r="E323" s="222">
        <v>2020</v>
      </c>
      <c r="F323" s="7">
        <f t="shared" si="52"/>
        <v>5504.6</v>
      </c>
      <c r="G323" s="7"/>
      <c r="H323" s="7">
        <f>2535.5+2969.1</f>
        <v>5504.6</v>
      </c>
      <c r="I323" s="14"/>
      <c r="J323" s="14"/>
      <c r="K323" s="240"/>
      <c r="L323" s="99"/>
      <c r="M323" s="106"/>
      <c r="N323" s="99" t="s">
        <v>240</v>
      </c>
    </row>
    <row r="324" spans="1:32" ht="15" x14ac:dyDescent="0.25">
      <c r="A324" s="319"/>
      <c r="B324" s="316"/>
      <c r="C324" s="253"/>
      <c r="D324" s="240"/>
      <c r="E324" s="222">
        <v>2021</v>
      </c>
      <c r="F324" s="7">
        <f t="shared" ref="F324:F327" si="53">SUM(G324:J324)</f>
        <v>9935</v>
      </c>
      <c r="G324" s="7"/>
      <c r="H324" s="7">
        <f>2655.1+7279.9</f>
        <v>9935</v>
      </c>
      <c r="I324" s="14"/>
      <c r="J324" s="14"/>
      <c r="K324" s="240"/>
      <c r="L324" s="99"/>
    </row>
    <row r="325" spans="1:32" ht="15" x14ac:dyDescent="0.25">
      <c r="A325" s="319"/>
      <c r="B325" s="316"/>
      <c r="C325" s="253"/>
      <c r="D325" s="240"/>
      <c r="E325" s="222">
        <v>2022</v>
      </c>
      <c r="F325" s="7">
        <f t="shared" si="53"/>
        <v>8988.7000000000007</v>
      </c>
      <c r="G325" s="7"/>
      <c r="H325" s="7">
        <f>3000+5988.7</f>
        <v>8988.7000000000007</v>
      </c>
      <c r="I325" s="14"/>
      <c r="J325" s="14"/>
      <c r="K325" s="240"/>
      <c r="L325" s="99"/>
    </row>
    <row r="326" spans="1:32" ht="15" x14ac:dyDescent="0.25">
      <c r="A326" s="319"/>
      <c r="B326" s="316"/>
      <c r="C326" s="253"/>
      <c r="D326" s="240"/>
      <c r="E326" s="222">
        <v>2023</v>
      </c>
      <c r="F326" s="7">
        <f t="shared" si="53"/>
        <v>3138</v>
      </c>
      <c r="G326" s="7"/>
      <c r="H326" s="7">
        <v>3138</v>
      </c>
      <c r="I326" s="14"/>
      <c r="J326" s="14"/>
      <c r="K326" s="240"/>
      <c r="L326" s="99"/>
      <c r="M326" s="106"/>
      <c r="N326" s="99" t="s">
        <v>239</v>
      </c>
    </row>
    <row r="327" spans="1:32" ht="15" x14ac:dyDescent="0.25">
      <c r="A327" s="319"/>
      <c r="B327" s="316"/>
      <c r="C327" s="253"/>
      <c r="D327" s="240"/>
      <c r="E327" s="222">
        <v>2024</v>
      </c>
      <c r="F327" s="7">
        <f t="shared" si="53"/>
        <v>3282.3</v>
      </c>
      <c r="G327" s="7"/>
      <c r="H327" s="7">
        <v>3282.3</v>
      </c>
      <c r="I327" s="14"/>
      <c r="J327" s="14"/>
      <c r="K327" s="240"/>
      <c r="L327" s="99"/>
      <c r="M327" s="106"/>
      <c r="N327" s="99" t="s">
        <v>240</v>
      </c>
    </row>
    <row r="328" spans="1:32" ht="15" x14ac:dyDescent="0.25">
      <c r="A328" s="319"/>
      <c r="B328" s="316"/>
      <c r="C328" s="253"/>
      <c r="D328" s="240"/>
      <c r="E328" s="222">
        <v>2025</v>
      </c>
      <c r="F328" s="7">
        <f t="shared" ref="F328" si="54">SUM(G328:J328)</f>
        <v>3433.3</v>
      </c>
      <c r="G328" s="7"/>
      <c r="H328" s="7">
        <v>3433.3</v>
      </c>
      <c r="I328" s="14"/>
      <c r="J328" s="14"/>
      <c r="K328" s="240"/>
      <c r="L328" s="99"/>
      <c r="M328" s="106"/>
      <c r="N328" s="99" t="s">
        <v>240</v>
      </c>
    </row>
    <row r="329" spans="1:32" ht="86.25" customHeight="1" x14ac:dyDescent="0.2">
      <c r="A329" s="319"/>
      <c r="B329" s="327"/>
      <c r="C329" s="281"/>
      <c r="D329" s="240"/>
      <c r="E329" s="18" t="s">
        <v>18</v>
      </c>
      <c r="F329" s="8">
        <f>SUM(F320:F328)</f>
        <v>43189.8</v>
      </c>
      <c r="G329" s="8"/>
      <c r="H329" s="8">
        <f>SUM(H320:H328)</f>
        <v>43189.8</v>
      </c>
      <c r="I329" s="13"/>
      <c r="J329" s="13"/>
      <c r="K329" s="241"/>
      <c r="L329" s="28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F329" s="28"/>
    </row>
    <row r="330" spans="1:32" x14ac:dyDescent="0.2">
      <c r="A330" s="317" t="s">
        <v>65</v>
      </c>
      <c r="B330" s="303"/>
      <c r="C330" s="303"/>
      <c r="D330" s="303"/>
      <c r="E330" s="303"/>
      <c r="F330" s="303"/>
      <c r="G330" s="303"/>
      <c r="H330" s="303"/>
      <c r="I330" s="303"/>
      <c r="J330" s="303"/>
      <c r="K330" s="303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  <c r="AC330" s="48"/>
      <c r="AD330" s="48"/>
      <c r="AE330" s="48"/>
      <c r="AF330" s="48"/>
    </row>
    <row r="331" spans="1:32" ht="15" x14ac:dyDescent="0.25">
      <c r="A331" s="341" t="s">
        <v>275</v>
      </c>
      <c r="B331" s="342" t="s">
        <v>205</v>
      </c>
      <c r="C331" s="296" t="s">
        <v>403</v>
      </c>
      <c r="D331" s="239" t="s">
        <v>207</v>
      </c>
      <c r="E331" s="208">
        <v>2015</v>
      </c>
      <c r="F331" s="143">
        <f t="shared" ref="F331:F336" si="55">SUM(H331:I331)</f>
        <v>23806.500000000004</v>
      </c>
      <c r="G331" s="143"/>
      <c r="H331" s="143">
        <f>25365.4-1504.8-54.1</f>
        <v>23806.500000000004</v>
      </c>
      <c r="I331" s="12"/>
      <c r="J331" s="12"/>
      <c r="K331" s="239" t="s">
        <v>139</v>
      </c>
    </row>
    <row r="332" spans="1:32" ht="15" x14ac:dyDescent="0.25">
      <c r="A332" s="337"/>
      <c r="B332" s="340"/>
      <c r="C332" s="253"/>
      <c r="D332" s="240"/>
      <c r="E332" s="222">
        <v>2016</v>
      </c>
      <c r="F332" s="7">
        <f t="shared" si="55"/>
        <v>12245.599999999999</v>
      </c>
      <c r="G332" s="7"/>
      <c r="H332" s="7">
        <f>12116.8-44.2+173</f>
        <v>12245.599999999999</v>
      </c>
      <c r="I332" s="14"/>
      <c r="J332" s="14"/>
      <c r="K332" s="240"/>
    </row>
    <row r="333" spans="1:32" ht="15" x14ac:dyDescent="0.25">
      <c r="A333" s="337"/>
      <c r="B333" s="340"/>
      <c r="C333" s="253"/>
      <c r="D333" s="240"/>
      <c r="E333" s="222">
        <v>2017</v>
      </c>
      <c r="F333" s="7">
        <f t="shared" si="55"/>
        <v>12314.3</v>
      </c>
      <c r="G333" s="7"/>
      <c r="H333" s="7">
        <f>12346-31.7</f>
        <v>12314.3</v>
      </c>
      <c r="I333" s="14"/>
      <c r="J333" s="14"/>
      <c r="K333" s="240"/>
      <c r="L333" s="99"/>
      <c r="N333" s="99" t="s">
        <v>242</v>
      </c>
    </row>
    <row r="334" spans="1:32" ht="15" x14ac:dyDescent="0.25">
      <c r="A334" s="337"/>
      <c r="B334" s="340"/>
      <c r="C334" s="253"/>
      <c r="D334" s="240"/>
      <c r="E334" s="222">
        <v>2018</v>
      </c>
      <c r="F334" s="7">
        <f t="shared" si="55"/>
        <v>12584</v>
      </c>
      <c r="G334" s="7"/>
      <c r="H334" s="7">
        <f>12692.3-108.3</f>
        <v>12584</v>
      </c>
      <c r="I334" s="14"/>
      <c r="J334" s="14"/>
      <c r="K334" s="240"/>
      <c r="N334" s="4" t="s">
        <v>234</v>
      </c>
    </row>
    <row r="335" spans="1:32" ht="15" x14ac:dyDescent="0.25">
      <c r="A335" s="337"/>
      <c r="B335" s="340"/>
      <c r="C335" s="253"/>
      <c r="D335" s="240"/>
      <c r="E335" s="222">
        <v>2019</v>
      </c>
      <c r="F335" s="7">
        <f t="shared" si="55"/>
        <v>14958.4</v>
      </c>
      <c r="G335" s="7"/>
      <c r="H335" s="7">
        <f>14736+222.4</f>
        <v>14958.4</v>
      </c>
      <c r="I335" s="14"/>
      <c r="J335" s="14"/>
      <c r="K335" s="240"/>
      <c r="N335" s="4" t="s">
        <v>234</v>
      </c>
    </row>
    <row r="336" spans="1:32" ht="15" x14ac:dyDescent="0.25">
      <c r="A336" s="337"/>
      <c r="B336" s="340"/>
      <c r="C336" s="253"/>
      <c r="D336" s="240"/>
      <c r="E336" s="222">
        <v>2020</v>
      </c>
      <c r="F336" s="7">
        <f t="shared" si="55"/>
        <v>14471.2</v>
      </c>
      <c r="G336" s="7"/>
      <c r="H336" s="7">
        <f>14736-264.8</f>
        <v>14471.2</v>
      </c>
      <c r="I336" s="14"/>
      <c r="J336" s="14"/>
      <c r="K336" s="240"/>
    </row>
    <row r="337" spans="1:14" ht="15" x14ac:dyDescent="0.25">
      <c r="A337" s="338"/>
      <c r="B337" s="340"/>
      <c r="C337" s="253"/>
      <c r="D337" s="240"/>
      <c r="E337" s="222">
        <v>2021</v>
      </c>
      <c r="F337" s="7">
        <f t="shared" ref="F337:F341" si="56">SUM(H337:I337)</f>
        <v>14331.9</v>
      </c>
      <c r="G337" s="7"/>
      <c r="H337" s="7">
        <f>14736-404.1</f>
        <v>14331.9</v>
      </c>
      <c r="I337" s="14"/>
      <c r="J337" s="14"/>
      <c r="K337" s="240"/>
    </row>
    <row r="338" spans="1:14" ht="15" x14ac:dyDescent="0.25">
      <c r="A338" s="338"/>
      <c r="B338" s="340"/>
      <c r="C338" s="253"/>
      <c r="D338" s="240"/>
      <c r="E338" s="222">
        <v>2022</v>
      </c>
      <c r="F338" s="7">
        <f t="shared" si="56"/>
        <v>14212.3</v>
      </c>
      <c r="G338" s="7"/>
      <c r="H338" s="7">
        <f>16000-1787.7</f>
        <v>14212.3</v>
      </c>
      <c r="I338" s="14"/>
      <c r="J338" s="14"/>
      <c r="K338" s="240"/>
      <c r="L338" s="99"/>
      <c r="N338" s="99" t="s">
        <v>242</v>
      </c>
    </row>
    <row r="339" spans="1:14" ht="15" x14ac:dyDescent="0.25">
      <c r="A339" s="338"/>
      <c r="B339" s="340"/>
      <c r="C339" s="253"/>
      <c r="D339" s="240"/>
      <c r="E339" s="222">
        <v>2023</v>
      </c>
      <c r="F339" s="7">
        <f t="shared" si="56"/>
        <v>16736</v>
      </c>
      <c r="G339" s="7"/>
      <c r="H339" s="7">
        <v>16736</v>
      </c>
      <c r="I339" s="14"/>
      <c r="J339" s="14"/>
      <c r="K339" s="240"/>
      <c r="N339" s="4" t="s">
        <v>234</v>
      </c>
    </row>
    <row r="340" spans="1:14" ht="15" x14ac:dyDescent="0.25">
      <c r="A340" s="338"/>
      <c r="B340" s="340"/>
      <c r="C340" s="253"/>
      <c r="D340" s="240"/>
      <c r="E340" s="222">
        <v>2024</v>
      </c>
      <c r="F340" s="7">
        <f t="shared" si="56"/>
        <v>17505.8</v>
      </c>
      <c r="G340" s="7"/>
      <c r="H340" s="7">
        <v>17505.8</v>
      </c>
      <c r="I340" s="14"/>
      <c r="J340" s="14"/>
      <c r="K340" s="240"/>
      <c r="N340" s="4" t="s">
        <v>234</v>
      </c>
    </row>
    <row r="341" spans="1:14" ht="15" x14ac:dyDescent="0.25">
      <c r="A341" s="338"/>
      <c r="B341" s="340"/>
      <c r="C341" s="253"/>
      <c r="D341" s="240"/>
      <c r="E341" s="222">
        <v>2025</v>
      </c>
      <c r="F341" s="7">
        <f t="shared" si="56"/>
        <v>18311</v>
      </c>
      <c r="G341" s="7"/>
      <c r="H341" s="7">
        <v>18311</v>
      </c>
      <c r="I341" s="14"/>
      <c r="J341" s="14"/>
      <c r="K341" s="240"/>
    </row>
    <row r="342" spans="1:14" ht="15" thickBot="1" x14ac:dyDescent="0.25">
      <c r="A342" s="338"/>
      <c r="B342" s="343"/>
      <c r="C342" s="281"/>
      <c r="D342" s="240"/>
      <c r="E342" s="18" t="s">
        <v>18</v>
      </c>
      <c r="F342" s="8">
        <f>SUM(F331:F341)</f>
        <v>171477</v>
      </c>
      <c r="G342" s="8"/>
      <c r="H342" s="8">
        <f>SUM(H331:H341)</f>
        <v>171477</v>
      </c>
      <c r="I342" s="13"/>
      <c r="J342" s="13"/>
      <c r="K342" s="241"/>
    </row>
    <row r="343" spans="1:14" ht="15" x14ac:dyDescent="0.25">
      <c r="A343" s="341" t="s">
        <v>72</v>
      </c>
      <c r="B343" s="342" t="s">
        <v>252</v>
      </c>
      <c r="C343" s="296" t="s">
        <v>403</v>
      </c>
      <c r="D343" s="239" t="s">
        <v>207</v>
      </c>
      <c r="E343" s="208">
        <v>2017</v>
      </c>
      <c r="F343" s="143">
        <f t="shared" ref="F343:F346" si="57">SUM(H343:I343)</f>
        <v>102.2</v>
      </c>
      <c r="G343" s="143"/>
      <c r="H343" s="143">
        <v>102.2</v>
      </c>
      <c r="I343" s="12"/>
      <c r="J343" s="12"/>
      <c r="K343" s="239" t="s">
        <v>139</v>
      </c>
      <c r="L343" s="99"/>
    </row>
    <row r="344" spans="1:14" ht="15" x14ac:dyDescent="0.25">
      <c r="A344" s="337"/>
      <c r="B344" s="340"/>
      <c r="C344" s="253"/>
      <c r="D344" s="240"/>
      <c r="E344" s="222">
        <v>2018</v>
      </c>
      <c r="F344" s="7">
        <f t="shared" si="57"/>
        <v>129.5</v>
      </c>
      <c r="G344" s="7"/>
      <c r="H344" s="7">
        <v>129.5</v>
      </c>
      <c r="I344" s="14"/>
      <c r="J344" s="14"/>
      <c r="K344" s="240"/>
    </row>
    <row r="345" spans="1:14" ht="15" x14ac:dyDescent="0.25">
      <c r="A345" s="337"/>
      <c r="B345" s="340"/>
      <c r="C345" s="253"/>
      <c r="D345" s="240"/>
      <c r="E345" s="222">
        <v>2019</v>
      </c>
      <c r="F345" s="7">
        <f t="shared" si="57"/>
        <v>61.3</v>
      </c>
      <c r="G345" s="7"/>
      <c r="H345" s="7">
        <f>46+15.3</f>
        <v>61.3</v>
      </c>
      <c r="I345" s="14"/>
      <c r="J345" s="14"/>
      <c r="K345" s="240"/>
      <c r="L345" s="99"/>
      <c r="N345" s="99" t="s">
        <v>242</v>
      </c>
    </row>
    <row r="346" spans="1:14" ht="15" x14ac:dyDescent="0.25">
      <c r="A346" s="337"/>
      <c r="B346" s="340"/>
      <c r="C346" s="253"/>
      <c r="D346" s="240"/>
      <c r="E346" s="222">
        <v>2020</v>
      </c>
      <c r="F346" s="7">
        <f t="shared" si="57"/>
        <v>102.2</v>
      </c>
      <c r="G346" s="7"/>
      <c r="H346" s="7">
        <f>46+56.2</f>
        <v>102.2</v>
      </c>
      <c r="I346" s="14"/>
      <c r="J346" s="14"/>
      <c r="K346" s="240"/>
      <c r="N346" s="4" t="s">
        <v>234</v>
      </c>
    </row>
    <row r="347" spans="1:14" ht="15" x14ac:dyDescent="0.25">
      <c r="A347" s="338"/>
      <c r="B347" s="340"/>
      <c r="C347" s="253"/>
      <c r="D347" s="240"/>
      <c r="E347" s="208">
        <v>2021</v>
      </c>
      <c r="F347" s="143">
        <f t="shared" ref="F347:F350" si="58">SUM(H347:I347)</f>
        <v>199.3</v>
      </c>
      <c r="G347" s="143"/>
      <c r="H347" s="143">
        <f>46+153.3</f>
        <v>199.3</v>
      </c>
      <c r="I347" s="12"/>
      <c r="J347" s="12"/>
      <c r="K347" s="240"/>
      <c r="L347" s="99"/>
    </row>
    <row r="348" spans="1:14" ht="15" x14ac:dyDescent="0.25">
      <c r="A348" s="338"/>
      <c r="B348" s="340"/>
      <c r="C348" s="253"/>
      <c r="D348" s="240"/>
      <c r="E348" s="222">
        <v>2022</v>
      </c>
      <c r="F348" s="7">
        <f t="shared" si="58"/>
        <v>173.7</v>
      </c>
      <c r="G348" s="7"/>
      <c r="H348" s="7">
        <f>48.3+125.4</f>
        <v>173.7</v>
      </c>
      <c r="I348" s="14"/>
      <c r="J348" s="14"/>
      <c r="K348" s="240"/>
    </row>
    <row r="349" spans="1:14" ht="15" x14ac:dyDescent="0.25">
      <c r="A349" s="338"/>
      <c r="B349" s="340"/>
      <c r="C349" s="253"/>
      <c r="D349" s="240"/>
      <c r="E349" s="222">
        <v>2023</v>
      </c>
      <c r="F349" s="7">
        <f t="shared" si="58"/>
        <v>50.5</v>
      </c>
      <c r="G349" s="7"/>
      <c r="H349" s="7">
        <v>50.5</v>
      </c>
      <c r="I349" s="14"/>
      <c r="J349" s="14"/>
      <c r="K349" s="240"/>
      <c r="L349" s="99"/>
      <c r="N349" s="99" t="s">
        <v>242</v>
      </c>
    </row>
    <row r="350" spans="1:14" ht="15" x14ac:dyDescent="0.25">
      <c r="A350" s="338"/>
      <c r="B350" s="340"/>
      <c r="C350" s="253"/>
      <c r="D350" s="240"/>
      <c r="E350" s="222">
        <v>2024</v>
      </c>
      <c r="F350" s="7">
        <f t="shared" si="58"/>
        <v>52.8</v>
      </c>
      <c r="G350" s="7"/>
      <c r="H350" s="7">
        <v>52.8</v>
      </c>
      <c r="I350" s="14"/>
      <c r="J350" s="14"/>
      <c r="K350" s="240"/>
      <c r="N350" s="4" t="s">
        <v>234</v>
      </c>
    </row>
    <row r="351" spans="1:14" ht="15" x14ac:dyDescent="0.25">
      <c r="A351" s="338"/>
      <c r="B351" s="340"/>
      <c r="C351" s="253"/>
      <c r="D351" s="240"/>
      <c r="E351" s="222">
        <v>2025</v>
      </c>
      <c r="F351" s="7">
        <f t="shared" ref="F351" si="59">SUM(H351:I351)</f>
        <v>55.2</v>
      </c>
      <c r="G351" s="7"/>
      <c r="H351" s="7">
        <v>55.2</v>
      </c>
      <c r="I351" s="14"/>
      <c r="J351" s="14"/>
      <c r="K351" s="240"/>
      <c r="N351" s="4" t="s">
        <v>234</v>
      </c>
    </row>
    <row r="352" spans="1:14" ht="48" customHeight="1" thickBot="1" x14ac:dyDescent="0.25">
      <c r="A352" s="338"/>
      <c r="B352" s="343"/>
      <c r="C352" s="281"/>
      <c r="D352" s="240"/>
      <c r="E352" s="18" t="s">
        <v>18</v>
      </c>
      <c r="F352" s="8">
        <f>SUM(F343:F351)</f>
        <v>926.7</v>
      </c>
      <c r="G352" s="8"/>
      <c r="H352" s="8">
        <f>SUM(H343:H351)</f>
        <v>926.7</v>
      </c>
      <c r="I352" s="13"/>
      <c r="J352" s="13"/>
      <c r="K352" s="241"/>
    </row>
    <row r="353" spans="1:32" x14ac:dyDescent="0.2">
      <c r="A353" s="337" t="s">
        <v>120</v>
      </c>
      <c r="B353" s="339" t="s">
        <v>140</v>
      </c>
      <c r="C353" s="296" t="s">
        <v>61</v>
      </c>
      <c r="D353" s="239" t="s">
        <v>207</v>
      </c>
      <c r="E353" s="222">
        <v>2015</v>
      </c>
      <c r="F353" s="14"/>
      <c r="G353" s="14"/>
      <c r="H353" s="14"/>
      <c r="I353" s="14"/>
      <c r="J353" s="14"/>
      <c r="K353" s="239" t="s">
        <v>141</v>
      </c>
    </row>
    <row r="354" spans="1:32" x14ac:dyDescent="0.2">
      <c r="A354" s="337"/>
      <c r="B354" s="340"/>
      <c r="C354" s="253"/>
      <c r="D354" s="240"/>
      <c r="E354" s="222">
        <v>2016</v>
      </c>
      <c r="F354" s="14"/>
      <c r="G354" s="14"/>
      <c r="H354" s="14"/>
      <c r="I354" s="14"/>
      <c r="J354" s="14"/>
      <c r="K354" s="240"/>
    </row>
    <row r="355" spans="1:32" x14ac:dyDescent="0.2">
      <c r="A355" s="337"/>
      <c r="B355" s="340"/>
      <c r="C355" s="253"/>
      <c r="D355" s="240"/>
      <c r="E355" s="222">
        <v>2017</v>
      </c>
      <c r="F355" s="14"/>
      <c r="G355" s="14"/>
      <c r="H355" s="14"/>
      <c r="I355" s="14"/>
      <c r="J355" s="14"/>
      <c r="K355" s="240"/>
    </row>
    <row r="356" spans="1:32" x14ac:dyDescent="0.2">
      <c r="A356" s="337"/>
      <c r="B356" s="340"/>
      <c r="C356" s="253"/>
      <c r="D356" s="240"/>
      <c r="E356" s="222">
        <v>2018</v>
      </c>
      <c r="F356" s="14"/>
      <c r="G356" s="14"/>
      <c r="H356" s="14"/>
      <c r="I356" s="14"/>
      <c r="J356" s="14"/>
      <c r="K356" s="240"/>
    </row>
    <row r="357" spans="1:32" x14ac:dyDescent="0.2">
      <c r="A357" s="337"/>
      <c r="B357" s="340"/>
      <c r="C357" s="253"/>
      <c r="D357" s="240"/>
      <c r="E357" s="222">
        <v>2019</v>
      </c>
      <c r="F357" s="14"/>
      <c r="G357" s="14"/>
      <c r="H357" s="14"/>
      <c r="I357" s="14"/>
      <c r="J357" s="14"/>
      <c r="K357" s="240"/>
    </row>
    <row r="358" spans="1:32" x14ac:dyDescent="0.2">
      <c r="A358" s="337"/>
      <c r="B358" s="340"/>
      <c r="C358" s="253"/>
      <c r="D358" s="240"/>
      <c r="E358" s="222">
        <v>2020</v>
      </c>
      <c r="F358" s="14"/>
      <c r="G358" s="14"/>
      <c r="H358" s="14"/>
      <c r="I358" s="14"/>
      <c r="J358" s="14"/>
      <c r="K358" s="240"/>
    </row>
    <row r="359" spans="1:32" ht="13.5" thickBot="1" x14ac:dyDescent="0.25">
      <c r="A359" s="338"/>
      <c r="B359" s="340"/>
      <c r="C359" s="253"/>
      <c r="D359" s="240"/>
      <c r="E359" s="26" t="s">
        <v>18</v>
      </c>
      <c r="F359" s="22"/>
      <c r="G359" s="22"/>
      <c r="H359" s="22"/>
      <c r="I359" s="22"/>
      <c r="J359" s="22"/>
      <c r="K359" s="240"/>
    </row>
    <row r="360" spans="1:32" ht="15.75" thickBot="1" x14ac:dyDescent="0.25">
      <c r="A360" s="332" t="s">
        <v>197</v>
      </c>
      <c r="B360" s="333"/>
      <c r="C360" s="333"/>
      <c r="D360" s="333"/>
      <c r="E360" s="96"/>
      <c r="F360" s="148">
        <f>F319+F342+F352+F329</f>
        <v>7595032.5999999996</v>
      </c>
      <c r="G360" s="148"/>
      <c r="H360" s="148">
        <f>H319+H342+H352+H329+H359</f>
        <v>7553773.0999999996</v>
      </c>
      <c r="I360" s="149">
        <f>I319+I342+I352+I329+I359</f>
        <v>41259.5</v>
      </c>
      <c r="J360" s="97"/>
      <c r="K360" s="98"/>
      <c r="L360" s="126"/>
      <c r="M360" s="127"/>
    </row>
    <row r="361" spans="1:32" ht="16.5" customHeight="1" thickBot="1" x14ac:dyDescent="0.3">
      <c r="A361" s="508" t="s">
        <v>179</v>
      </c>
      <c r="B361" s="509"/>
      <c r="C361" s="509"/>
      <c r="D361" s="509"/>
      <c r="E361" s="509"/>
      <c r="F361" s="509"/>
      <c r="G361" s="509"/>
      <c r="H361" s="509"/>
      <c r="I361" s="509"/>
      <c r="J361" s="509"/>
      <c r="K361" s="509"/>
      <c r="L361" s="87"/>
      <c r="M361" s="87"/>
      <c r="N361" s="87"/>
      <c r="O361" s="87"/>
      <c r="P361" s="87"/>
      <c r="Q361" s="87"/>
      <c r="R361" s="87"/>
      <c r="S361" s="87"/>
      <c r="T361" s="87"/>
      <c r="U361" s="87"/>
      <c r="V361" s="87"/>
      <c r="W361" s="87"/>
      <c r="X361" s="87"/>
      <c r="Y361" s="87"/>
      <c r="Z361" s="87"/>
      <c r="AA361" s="87"/>
      <c r="AB361" s="87"/>
      <c r="AC361" s="87"/>
      <c r="AD361" s="87"/>
      <c r="AE361" s="87"/>
      <c r="AF361" s="88"/>
    </row>
    <row r="362" spans="1:32" ht="135" customHeight="1" thickBot="1" x14ac:dyDescent="0.25">
      <c r="A362" s="334" t="s">
        <v>66</v>
      </c>
      <c r="B362" s="335"/>
      <c r="C362" s="335"/>
      <c r="D362" s="335"/>
      <c r="E362" s="335"/>
      <c r="F362" s="335"/>
      <c r="G362" s="335"/>
      <c r="H362" s="335"/>
      <c r="I362" s="335"/>
      <c r="J362" s="335"/>
      <c r="K362" s="336"/>
    </row>
    <row r="363" spans="1:32" ht="15" x14ac:dyDescent="0.25">
      <c r="A363" s="337" t="s">
        <v>91</v>
      </c>
      <c r="B363" s="339" t="s">
        <v>224</v>
      </c>
      <c r="C363" s="296" t="s">
        <v>403</v>
      </c>
      <c r="D363" s="239" t="s">
        <v>207</v>
      </c>
      <c r="E363" s="222">
        <v>2015</v>
      </c>
      <c r="F363" s="7">
        <f t="shared" ref="F363:F366" si="60">SUM(G363:H363)</f>
        <v>29177</v>
      </c>
      <c r="G363" s="7"/>
      <c r="H363" s="7">
        <f>25777+3400</f>
        <v>29177</v>
      </c>
      <c r="I363" s="14"/>
      <c r="J363" s="14"/>
      <c r="K363" s="239" t="s">
        <v>142</v>
      </c>
    </row>
    <row r="364" spans="1:32" ht="15" x14ac:dyDescent="0.25">
      <c r="A364" s="337"/>
      <c r="B364" s="526"/>
      <c r="C364" s="253"/>
      <c r="D364" s="240"/>
      <c r="E364" s="222">
        <v>2016</v>
      </c>
      <c r="F364" s="7">
        <f t="shared" si="60"/>
        <v>31021</v>
      </c>
      <c r="G364" s="7"/>
      <c r="H364" s="7">
        <f>32323-1302</f>
        <v>31021</v>
      </c>
      <c r="I364" s="14"/>
      <c r="J364" s="14"/>
      <c r="K364" s="240"/>
      <c r="L364" s="99"/>
    </row>
    <row r="365" spans="1:32" ht="15" x14ac:dyDescent="0.25">
      <c r="A365" s="337"/>
      <c r="B365" s="526"/>
      <c r="C365" s="253"/>
      <c r="D365" s="240"/>
      <c r="E365" s="222">
        <v>2017</v>
      </c>
      <c r="F365" s="7">
        <f t="shared" si="60"/>
        <v>29945.1</v>
      </c>
      <c r="G365" s="7"/>
      <c r="H365" s="7">
        <f>31493.1-1548</f>
        <v>29945.1</v>
      </c>
      <c r="I365" s="14"/>
      <c r="J365" s="14"/>
      <c r="K365" s="240"/>
      <c r="L365" s="99"/>
    </row>
    <row r="366" spans="1:32" ht="15" x14ac:dyDescent="0.25">
      <c r="A366" s="337"/>
      <c r="B366" s="526"/>
      <c r="C366" s="253"/>
      <c r="D366" s="240"/>
      <c r="E366" s="222">
        <v>2018</v>
      </c>
      <c r="F366" s="7">
        <f t="shared" si="60"/>
        <v>33455.799999999996</v>
      </c>
      <c r="G366" s="7"/>
      <c r="H366" s="7">
        <f>33846.7-390.9</f>
        <v>33455.799999999996</v>
      </c>
      <c r="I366" s="14"/>
      <c r="J366" s="14"/>
      <c r="K366" s="240"/>
      <c r="L366" s="99" t="s">
        <v>351</v>
      </c>
      <c r="M366" s="99" t="s">
        <v>352</v>
      </c>
      <c r="N366" s="106"/>
    </row>
    <row r="367" spans="1:32" ht="15" x14ac:dyDescent="0.25">
      <c r="A367" s="337"/>
      <c r="B367" s="526"/>
      <c r="C367" s="253"/>
      <c r="D367" s="240"/>
      <c r="E367" s="222">
        <v>2019</v>
      </c>
      <c r="F367" s="7">
        <f>SUM(G367:I367)</f>
        <v>43370.7</v>
      </c>
      <c r="G367" s="7"/>
      <c r="H367" s="7">
        <f>38793+3168.7</f>
        <v>41961.7</v>
      </c>
      <c r="I367" s="7">
        <f>1710-301</f>
        <v>1409</v>
      </c>
      <c r="J367" s="14"/>
      <c r="K367" s="240"/>
      <c r="N367" s="106"/>
    </row>
    <row r="368" spans="1:32" ht="15" x14ac:dyDescent="0.25">
      <c r="A368" s="337"/>
      <c r="B368" s="526"/>
      <c r="C368" s="253"/>
      <c r="D368" s="240"/>
      <c r="E368" s="222">
        <v>2020</v>
      </c>
      <c r="F368" s="7">
        <f>SUM(G368:I368)</f>
        <v>42043.799999999996</v>
      </c>
      <c r="G368" s="7"/>
      <c r="H368" s="7">
        <f>41914.1-1550.4</f>
        <v>40363.699999999997</v>
      </c>
      <c r="I368" s="7">
        <f>1710-29.9</f>
        <v>1680.1</v>
      </c>
      <c r="J368" s="14"/>
      <c r="K368" s="240"/>
      <c r="N368" s="28"/>
    </row>
    <row r="369" spans="1:14" ht="15" x14ac:dyDescent="0.25">
      <c r="A369" s="338"/>
      <c r="B369" s="526"/>
      <c r="C369" s="253"/>
      <c r="D369" s="240"/>
      <c r="E369" s="222">
        <v>2021</v>
      </c>
      <c r="F369" s="7">
        <f>SUM(G369:I369)</f>
        <v>45946.3</v>
      </c>
      <c r="G369" s="7"/>
      <c r="H369" s="7">
        <f>44735.8-589.6</f>
        <v>44146.200000000004</v>
      </c>
      <c r="I369" s="7">
        <f>1710+90.1</f>
        <v>1800.1</v>
      </c>
      <c r="J369" s="14"/>
      <c r="K369" s="240"/>
      <c r="L369" s="99"/>
    </row>
    <row r="370" spans="1:14" ht="15" x14ac:dyDescent="0.25">
      <c r="A370" s="338"/>
      <c r="B370" s="526"/>
      <c r="C370" s="253"/>
      <c r="D370" s="240"/>
      <c r="E370" s="222">
        <v>2022</v>
      </c>
      <c r="F370" s="7">
        <f>SUM(G370:I370)</f>
        <v>43938.1</v>
      </c>
      <c r="G370" s="7"/>
      <c r="H370" s="7">
        <f>51000-8633.9</f>
        <v>42366.1</v>
      </c>
      <c r="I370" s="7">
        <v>1572</v>
      </c>
      <c r="J370" s="14"/>
      <c r="K370" s="240"/>
      <c r="L370" s="99"/>
    </row>
    <row r="371" spans="1:14" ht="15" x14ac:dyDescent="0.25">
      <c r="A371" s="338"/>
      <c r="B371" s="526"/>
      <c r="C371" s="253"/>
      <c r="D371" s="240"/>
      <c r="E371" s="222">
        <v>2023</v>
      </c>
      <c r="F371" s="7">
        <f t="shared" ref="F370:F373" si="61">SUM(G371:H371)</f>
        <v>53346</v>
      </c>
      <c r="G371" s="7"/>
      <c r="H371" s="7">
        <v>53346</v>
      </c>
      <c r="I371" s="14"/>
      <c r="J371" s="14"/>
      <c r="K371" s="240"/>
      <c r="L371" s="99" t="s">
        <v>351</v>
      </c>
      <c r="M371" s="99" t="s">
        <v>352</v>
      </c>
      <c r="N371" s="106"/>
    </row>
    <row r="372" spans="1:14" ht="15" x14ac:dyDescent="0.25">
      <c r="A372" s="338"/>
      <c r="B372" s="526"/>
      <c r="C372" s="253"/>
      <c r="D372" s="240"/>
      <c r="E372" s="222">
        <v>2024</v>
      </c>
      <c r="F372" s="7">
        <f t="shared" si="61"/>
        <v>55800</v>
      </c>
      <c r="G372" s="7"/>
      <c r="H372" s="7">
        <v>55800</v>
      </c>
      <c r="I372" s="14"/>
      <c r="J372" s="14"/>
      <c r="K372" s="240"/>
      <c r="N372" s="106"/>
    </row>
    <row r="373" spans="1:14" ht="15" x14ac:dyDescent="0.25">
      <c r="A373" s="338"/>
      <c r="B373" s="526"/>
      <c r="C373" s="253"/>
      <c r="D373" s="240"/>
      <c r="E373" s="222">
        <v>2025</v>
      </c>
      <c r="F373" s="7">
        <f t="shared" si="61"/>
        <v>58367</v>
      </c>
      <c r="G373" s="7"/>
      <c r="H373" s="7">
        <v>58367</v>
      </c>
      <c r="I373" s="14"/>
      <c r="J373" s="14"/>
      <c r="K373" s="240"/>
      <c r="N373" s="28"/>
    </row>
    <row r="374" spans="1:14" ht="42.75" customHeight="1" x14ac:dyDescent="0.2">
      <c r="A374" s="338"/>
      <c r="B374" s="526"/>
      <c r="C374" s="281"/>
      <c r="D374" s="240"/>
      <c r="E374" s="18" t="s">
        <v>18</v>
      </c>
      <c r="F374" s="8">
        <f>SUM(F363:F373)</f>
        <v>466410.79999999993</v>
      </c>
      <c r="G374" s="8"/>
      <c r="H374" s="8">
        <f>SUM(H363:H373)</f>
        <v>459949.6</v>
      </c>
      <c r="I374" s="8">
        <f>SUM(I363:I373)</f>
        <v>6461.2</v>
      </c>
      <c r="J374" s="13"/>
      <c r="K374" s="241"/>
    </row>
    <row r="375" spans="1:14" ht="15" x14ac:dyDescent="0.25">
      <c r="A375" s="319" t="s">
        <v>67</v>
      </c>
      <c r="B375" s="288" t="s">
        <v>128</v>
      </c>
      <c r="C375" s="296" t="s">
        <v>68</v>
      </c>
      <c r="D375" s="239" t="s">
        <v>207</v>
      </c>
      <c r="E375" s="222">
        <v>2015</v>
      </c>
      <c r="F375" s="7">
        <f t="shared" ref="F375:F380" si="62">SUM(G375:I375)</f>
        <v>470.20000000000005</v>
      </c>
      <c r="G375" s="7"/>
      <c r="H375" s="7">
        <f>416.1+54.1</f>
        <v>470.20000000000005</v>
      </c>
      <c r="I375" s="7"/>
      <c r="J375" s="14"/>
      <c r="K375" s="505" t="s">
        <v>142</v>
      </c>
    </row>
    <row r="376" spans="1:14" ht="15" x14ac:dyDescent="0.25">
      <c r="A376" s="319"/>
      <c r="B376" s="305"/>
      <c r="C376" s="254"/>
      <c r="D376" s="240"/>
      <c r="E376" s="222">
        <v>2016</v>
      </c>
      <c r="F376" s="7">
        <f t="shared" si="62"/>
        <v>305.39999999999998</v>
      </c>
      <c r="G376" s="7"/>
      <c r="H376" s="7">
        <f>261.2+44.2</f>
        <v>305.39999999999998</v>
      </c>
      <c r="I376" s="7"/>
      <c r="J376" s="14"/>
      <c r="K376" s="506"/>
    </row>
    <row r="377" spans="1:14" ht="15" x14ac:dyDescent="0.25">
      <c r="A377" s="319"/>
      <c r="B377" s="305"/>
      <c r="C377" s="254"/>
      <c r="D377" s="240"/>
      <c r="E377" s="222">
        <v>2017</v>
      </c>
      <c r="F377" s="7">
        <f t="shared" si="62"/>
        <v>454</v>
      </c>
      <c r="G377" s="7"/>
      <c r="H377" s="7">
        <v>454</v>
      </c>
      <c r="I377" s="7"/>
      <c r="J377" s="14"/>
      <c r="K377" s="506"/>
      <c r="L377" s="99"/>
      <c r="M377" s="107"/>
    </row>
    <row r="378" spans="1:14" ht="15" x14ac:dyDescent="0.25">
      <c r="A378" s="319"/>
      <c r="B378" s="305"/>
      <c r="C378" s="254"/>
      <c r="D378" s="240"/>
      <c r="E378" s="222">
        <v>2018</v>
      </c>
      <c r="F378" s="7">
        <f t="shared" si="62"/>
        <v>494</v>
      </c>
      <c r="G378" s="7"/>
      <c r="H378" s="7">
        <v>494</v>
      </c>
      <c r="I378" s="7"/>
      <c r="J378" s="14"/>
      <c r="K378" s="506"/>
      <c r="N378" s="106"/>
    </row>
    <row r="379" spans="1:14" ht="15" x14ac:dyDescent="0.25">
      <c r="A379" s="319"/>
      <c r="B379" s="305"/>
      <c r="C379" s="254"/>
      <c r="D379" s="240"/>
      <c r="E379" s="222">
        <v>2019</v>
      </c>
      <c r="F379" s="7">
        <f t="shared" ref="F379" si="63">SUM(G379:I379)</f>
        <v>368</v>
      </c>
      <c r="G379" s="7"/>
      <c r="H379" s="7">
        <f>369.8-1.8</f>
        <v>368</v>
      </c>
      <c r="I379" s="7"/>
      <c r="J379" s="14"/>
      <c r="K379" s="506"/>
      <c r="N379" s="106"/>
    </row>
    <row r="380" spans="1:14" ht="15" x14ac:dyDescent="0.25">
      <c r="A380" s="319"/>
      <c r="B380" s="305"/>
      <c r="C380" s="254"/>
      <c r="D380" s="240"/>
      <c r="E380" s="222">
        <v>2020</v>
      </c>
      <c r="F380" s="7">
        <f t="shared" si="62"/>
        <v>369.6</v>
      </c>
      <c r="G380" s="7"/>
      <c r="H380" s="7">
        <f>369.8-0.2</f>
        <v>369.6</v>
      </c>
      <c r="I380" s="7"/>
      <c r="J380" s="14"/>
      <c r="K380" s="506"/>
    </row>
    <row r="381" spans="1:14" ht="15" x14ac:dyDescent="0.25">
      <c r="A381" s="319"/>
      <c r="B381" s="364"/>
      <c r="C381" s="254"/>
      <c r="D381" s="240"/>
      <c r="E381" s="222">
        <v>2021</v>
      </c>
      <c r="F381" s="7">
        <f t="shared" ref="F381:F383" si="64">SUM(G381:I381)</f>
        <v>394.40000000000003</v>
      </c>
      <c r="G381" s="7"/>
      <c r="H381" s="7">
        <f>369.8+24.6</f>
        <v>394.40000000000003</v>
      </c>
      <c r="I381" s="7"/>
      <c r="J381" s="14"/>
      <c r="K381" s="506"/>
    </row>
    <row r="382" spans="1:14" ht="15" x14ac:dyDescent="0.25">
      <c r="A382" s="319"/>
      <c r="B382" s="364"/>
      <c r="C382" s="254"/>
      <c r="D382" s="240"/>
      <c r="E382" s="222">
        <v>2022</v>
      </c>
      <c r="F382" s="7">
        <f t="shared" si="64"/>
        <v>371.2</v>
      </c>
      <c r="G382" s="7"/>
      <c r="H382" s="7">
        <f>400-28.8</f>
        <v>371.2</v>
      </c>
      <c r="I382" s="7"/>
      <c r="J382" s="14"/>
      <c r="K382" s="506"/>
      <c r="L382" s="99"/>
      <c r="M382" s="107"/>
    </row>
    <row r="383" spans="1:14" ht="15" x14ac:dyDescent="0.25">
      <c r="A383" s="319"/>
      <c r="B383" s="364"/>
      <c r="C383" s="254"/>
      <c r="D383" s="240"/>
      <c r="E383" s="222">
        <v>2023</v>
      </c>
      <c r="F383" s="7">
        <f t="shared" si="64"/>
        <v>418</v>
      </c>
      <c r="G383" s="7"/>
      <c r="H383" s="7">
        <v>418</v>
      </c>
      <c r="I383" s="7"/>
      <c r="J383" s="14"/>
      <c r="K383" s="506"/>
      <c r="N383" s="106"/>
    </row>
    <row r="384" spans="1:14" ht="15" x14ac:dyDescent="0.25">
      <c r="A384" s="319"/>
      <c r="B384" s="364"/>
      <c r="C384" s="254"/>
      <c r="D384" s="240"/>
      <c r="E384" s="222">
        <v>2024</v>
      </c>
      <c r="F384" s="7">
        <f t="shared" ref="F384" si="65">SUM(G384:I384)</f>
        <v>437</v>
      </c>
      <c r="G384" s="7"/>
      <c r="H384" s="7">
        <v>437</v>
      </c>
      <c r="I384" s="7"/>
      <c r="J384" s="14"/>
      <c r="K384" s="506"/>
      <c r="N384" s="106"/>
    </row>
    <row r="385" spans="1:22" ht="15" x14ac:dyDescent="0.25">
      <c r="A385" s="319"/>
      <c r="B385" s="364"/>
      <c r="C385" s="254"/>
      <c r="D385" s="240"/>
      <c r="E385" s="222">
        <v>2025</v>
      </c>
      <c r="F385" s="7">
        <f t="shared" ref="F385" si="66">SUM(G385:I385)</f>
        <v>457</v>
      </c>
      <c r="G385" s="7"/>
      <c r="H385" s="7">
        <v>457</v>
      </c>
      <c r="I385" s="7"/>
      <c r="J385" s="14"/>
      <c r="K385" s="506"/>
    </row>
    <row r="386" spans="1:22" ht="15" x14ac:dyDescent="0.25">
      <c r="A386" s="319"/>
      <c r="B386" s="364"/>
      <c r="C386" s="282"/>
      <c r="D386" s="240"/>
      <c r="E386" s="18" t="s">
        <v>18</v>
      </c>
      <c r="F386" s="8">
        <f>SUM(F375:F385)</f>
        <v>4538.7999999999993</v>
      </c>
      <c r="G386" s="8"/>
      <c r="H386" s="8">
        <f>SUM(H375:H385)</f>
        <v>4538.7999999999993</v>
      </c>
      <c r="I386" s="7"/>
      <c r="J386" s="14"/>
      <c r="K386" s="507"/>
    </row>
    <row r="387" spans="1:22" ht="15" x14ac:dyDescent="0.25">
      <c r="A387" s="319" t="s">
        <v>276</v>
      </c>
      <c r="B387" s="288" t="s">
        <v>126</v>
      </c>
      <c r="C387" s="296" t="s">
        <v>68</v>
      </c>
      <c r="D387" s="239" t="s">
        <v>207</v>
      </c>
      <c r="E387" s="222">
        <v>2015</v>
      </c>
      <c r="F387" s="7">
        <f t="shared" ref="F387:F392" si="67">SUM(G387:J387)</f>
        <v>5042</v>
      </c>
      <c r="G387" s="7"/>
      <c r="H387" s="7">
        <v>4991.6000000000004</v>
      </c>
      <c r="I387" s="7">
        <v>50.4</v>
      </c>
      <c r="J387" s="14"/>
      <c r="K387" s="239" t="s">
        <v>142</v>
      </c>
    </row>
    <row r="388" spans="1:22" ht="15" x14ac:dyDescent="0.25">
      <c r="A388" s="319"/>
      <c r="B388" s="305"/>
      <c r="C388" s="254"/>
      <c r="D388" s="240"/>
      <c r="E388" s="222">
        <v>2016</v>
      </c>
      <c r="F388" s="7">
        <f t="shared" si="67"/>
        <v>0</v>
      </c>
      <c r="G388" s="7"/>
      <c r="H388" s="7"/>
      <c r="I388" s="7"/>
      <c r="J388" s="14"/>
      <c r="K388" s="240"/>
    </row>
    <row r="389" spans="1:22" ht="15" x14ac:dyDescent="0.25">
      <c r="A389" s="319"/>
      <c r="B389" s="305"/>
      <c r="C389" s="254"/>
      <c r="D389" s="240"/>
      <c r="E389" s="222">
        <v>2017</v>
      </c>
      <c r="F389" s="7">
        <f t="shared" si="67"/>
        <v>0</v>
      </c>
      <c r="G389" s="7"/>
      <c r="H389" s="7"/>
      <c r="I389" s="7"/>
      <c r="J389" s="14"/>
      <c r="K389" s="240"/>
      <c r="L389" s="99"/>
    </row>
    <row r="390" spans="1:22" ht="15" x14ac:dyDescent="0.25">
      <c r="A390" s="319"/>
      <c r="B390" s="305"/>
      <c r="C390" s="254"/>
      <c r="D390" s="240"/>
      <c r="E390" s="222">
        <v>2018</v>
      </c>
      <c r="F390" s="7">
        <f t="shared" si="67"/>
        <v>0</v>
      </c>
      <c r="G390" s="7"/>
      <c r="H390" s="7"/>
      <c r="I390" s="7"/>
      <c r="J390" s="14"/>
      <c r="K390" s="240"/>
      <c r="L390" s="99"/>
    </row>
    <row r="391" spans="1:22" ht="15" x14ac:dyDescent="0.25">
      <c r="A391" s="319"/>
      <c r="B391" s="305"/>
      <c r="C391" s="254"/>
      <c r="D391" s="240"/>
      <c r="E391" s="222">
        <v>2019</v>
      </c>
      <c r="F391" s="7">
        <f t="shared" si="67"/>
        <v>0</v>
      </c>
      <c r="G391" s="7"/>
      <c r="H391" s="7"/>
      <c r="I391" s="7"/>
      <c r="J391" s="14"/>
      <c r="K391" s="240"/>
    </row>
    <row r="392" spans="1:22" ht="15" x14ac:dyDescent="0.25">
      <c r="A392" s="319"/>
      <c r="B392" s="305"/>
      <c r="C392" s="254"/>
      <c r="D392" s="240"/>
      <c r="E392" s="222">
        <v>2020</v>
      </c>
      <c r="F392" s="7">
        <f t="shared" si="67"/>
        <v>0</v>
      </c>
      <c r="G392" s="7"/>
      <c r="H392" s="7"/>
      <c r="I392" s="7"/>
      <c r="J392" s="14"/>
      <c r="K392" s="240"/>
    </row>
    <row r="393" spans="1:22" ht="45" customHeight="1" x14ac:dyDescent="0.2">
      <c r="A393" s="319"/>
      <c r="B393" s="305"/>
      <c r="C393" s="282"/>
      <c r="D393" s="240"/>
      <c r="E393" s="18" t="s">
        <v>18</v>
      </c>
      <c r="F393" s="9">
        <f>SUM(F387:F392)</f>
        <v>5042</v>
      </c>
      <c r="G393" s="9"/>
      <c r="H393" s="9">
        <f>SUM(H387:H392)</f>
        <v>4991.6000000000004</v>
      </c>
      <c r="I393" s="9">
        <f>SUM(I387:I392)</f>
        <v>50.4</v>
      </c>
      <c r="J393" s="44"/>
      <c r="K393" s="241"/>
    </row>
    <row r="394" spans="1:22" ht="12.75" customHeight="1" x14ac:dyDescent="0.25">
      <c r="A394" s="341" t="s">
        <v>129</v>
      </c>
      <c r="B394" s="251" t="s">
        <v>297</v>
      </c>
      <c r="C394" s="296" t="s">
        <v>405</v>
      </c>
      <c r="D394" s="239" t="s">
        <v>207</v>
      </c>
      <c r="E394" s="222">
        <v>2015</v>
      </c>
      <c r="F394" s="7">
        <f t="shared" ref="F394:F399" si="68">SUM(G394:J394)</f>
        <v>0</v>
      </c>
      <c r="G394" s="7"/>
      <c r="H394" s="7"/>
      <c r="I394" s="7">
        <v>0</v>
      </c>
      <c r="J394" s="14"/>
      <c r="K394" s="239" t="s">
        <v>143</v>
      </c>
    </row>
    <row r="395" spans="1:22" ht="12.75" customHeight="1" x14ac:dyDescent="0.25">
      <c r="A395" s="337"/>
      <c r="B395" s="294"/>
      <c r="C395" s="254"/>
      <c r="D395" s="240"/>
      <c r="E395" s="222">
        <v>2016</v>
      </c>
      <c r="F395" s="7">
        <f t="shared" si="68"/>
        <v>2152.1</v>
      </c>
      <c r="G395" s="7"/>
      <c r="H395" s="7"/>
      <c r="I395" s="7">
        <f>2194.1-42</f>
        <v>2152.1</v>
      </c>
      <c r="J395" s="14"/>
      <c r="K395" s="240"/>
      <c r="L395" s="99"/>
    </row>
    <row r="396" spans="1:22" ht="12.75" customHeight="1" x14ac:dyDescent="0.25">
      <c r="A396" s="337"/>
      <c r="B396" s="294"/>
      <c r="C396" s="254"/>
      <c r="D396" s="240"/>
      <c r="E396" s="222">
        <v>2017</v>
      </c>
      <c r="F396" s="7">
        <f t="shared" si="68"/>
        <v>6504.1</v>
      </c>
      <c r="G396" s="7"/>
      <c r="H396" s="7"/>
      <c r="I396" s="7">
        <f>1996.4+4505.7+2</f>
        <v>6504.1</v>
      </c>
      <c r="J396" s="14"/>
      <c r="K396" s="240"/>
      <c r="L396" s="99" t="s">
        <v>354</v>
      </c>
      <c r="M396" s="125" t="s">
        <v>335</v>
      </c>
      <c r="N396" s="109"/>
      <c r="O396" s="121">
        <v>2589.1999999999998</v>
      </c>
      <c r="P396" s="109"/>
      <c r="Q396" s="121" t="s">
        <v>336</v>
      </c>
      <c r="R396" s="109"/>
      <c r="S396" s="109"/>
      <c r="T396" s="112">
        <v>1596.5</v>
      </c>
      <c r="U396" s="121" t="s">
        <v>337</v>
      </c>
      <c r="V396" s="112"/>
    </row>
    <row r="397" spans="1:22" ht="12.75" customHeight="1" x14ac:dyDescent="0.25">
      <c r="A397" s="337"/>
      <c r="B397" s="294"/>
      <c r="C397" s="254"/>
      <c r="D397" s="240"/>
      <c r="E397" s="222">
        <v>2018</v>
      </c>
      <c r="F397" s="7">
        <f t="shared" si="68"/>
        <v>7185.9000000000005</v>
      </c>
      <c r="G397" s="7"/>
      <c r="H397" s="7"/>
      <c r="I397" s="7">
        <f>6972.3+213.6</f>
        <v>7185.9000000000005</v>
      </c>
      <c r="J397" s="14"/>
      <c r="K397" s="240"/>
      <c r="L397" s="99"/>
    </row>
    <row r="398" spans="1:22" ht="12.75" customHeight="1" x14ac:dyDescent="0.25">
      <c r="A398" s="337"/>
      <c r="B398" s="294"/>
      <c r="C398" s="254"/>
      <c r="D398" s="240"/>
      <c r="E398" s="222">
        <v>2019</v>
      </c>
      <c r="F398" s="7">
        <f t="shared" si="68"/>
        <v>5970.7</v>
      </c>
      <c r="G398" s="7"/>
      <c r="H398" s="7"/>
      <c r="I398" s="7">
        <f>6782.5+718.5-2009.1+478.8</f>
        <v>5970.7</v>
      </c>
      <c r="J398" s="14"/>
      <c r="K398" s="240"/>
    </row>
    <row r="399" spans="1:22" ht="12.75" customHeight="1" x14ac:dyDescent="0.25">
      <c r="A399" s="337"/>
      <c r="B399" s="294"/>
      <c r="C399" s="254"/>
      <c r="D399" s="240"/>
      <c r="E399" s="222">
        <v>2020</v>
      </c>
      <c r="F399" s="7">
        <f t="shared" si="68"/>
        <v>6266.4</v>
      </c>
      <c r="G399" s="7"/>
      <c r="H399" s="7"/>
      <c r="I399" s="7">
        <f>3677.5-3659.9+6248.8</f>
        <v>6266.4</v>
      </c>
      <c r="J399" s="14"/>
      <c r="K399" s="240"/>
    </row>
    <row r="400" spans="1:22" ht="12.75" customHeight="1" x14ac:dyDescent="0.25">
      <c r="A400" s="338"/>
      <c r="B400" s="309"/>
      <c r="C400" s="254"/>
      <c r="D400" s="240"/>
      <c r="E400" s="222">
        <v>2021</v>
      </c>
      <c r="F400" s="7">
        <f t="shared" ref="F400:F404" si="69">SUM(G400:J400)</f>
        <v>840.4</v>
      </c>
      <c r="G400" s="7"/>
      <c r="H400" s="7"/>
      <c r="I400" s="7">
        <f>2083.1-2083.1+840.4</f>
        <v>840.4</v>
      </c>
      <c r="J400" s="14"/>
      <c r="K400" s="240"/>
      <c r="L400" s="99"/>
    </row>
    <row r="401" spans="1:22" ht="12.75" customHeight="1" x14ac:dyDescent="0.25">
      <c r="A401" s="338"/>
      <c r="B401" s="309"/>
      <c r="C401" s="254"/>
      <c r="D401" s="240"/>
      <c r="E401" s="222">
        <v>2022</v>
      </c>
      <c r="F401" s="7">
        <f t="shared" si="69"/>
        <v>0</v>
      </c>
      <c r="G401" s="7"/>
      <c r="H401" s="7"/>
      <c r="I401" s="7">
        <f>2166.4-2166.4</f>
        <v>0</v>
      </c>
      <c r="J401" s="14"/>
      <c r="K401" s="240"/>
      <c r="L401" s="99" t="s">
        <v>354</v>
      </c>
      <c r="M401" s="125" t="s">
        <v>335</v>
      </c>
      <c r="N401" s="109"/>
      <c r="O401" s="121">
        <v>2589.1999999999998</v>
      </c>
      <c r="P401" s="109"/>
      <c r="Q401" s="121" t="s">
        <v>336</v>
      </c>
      <c r="R401" s="109"/>
      <c r="S401" s="109"/>
      <c r="T401" s="112">
        <v>1596.5</v>
      </c>
      <c r="U401" s="121" t="s">
        <v>337</v>
      </c>
      <c r="V401" s="112"/>
    </row>
    <row r="402" spans="1:22" ht="12.75" customHeight="1" x14ac:dyDescent="0.25">
      <c r="A402" s="338"/>
      <c r="B402" s="309"/>
      <c r="C402" s="254"/>
      <c r="D402" s="240"/>
      <c r="E402" s="222">
        <v>2023</v>
      </c>
      <c r="F402" s="7">
        <f t="shared" si="69"/>
        <v>2253</v>
      </c>
      <c r="G402" s="7"/>
      <c r="H402" s="7"/>
      <c r="I402" s="7">
        <v>2253</v>
      </c>
      <c r="J402" s="14"/>
      <c r="K402" s="240"/>
      <c r="L402" s="99"/>
    </row>
    <row r="403" spans="1:22" ht="12.75" customHeight="1" x14ac:dyDescent="0.25">
      <c r="A403" s="338"/>
      <c r="B403" s="309"/>
      <c r="C403" s="254"/>
      <c r="D403" s="240"/>
      <c r="E403" s="222">
        <v>2024</v>
      </c>
      <c r="F403" s="7">
        <f t="shared" si="69"/>
        <v>2343</v>
      </c>
      <c r="G403" s="7"/>
      <c r="H403" s="7"/>
      <c r="I403" s="7">
        <v>2343</v>
      </c>
      <c r="J403" s="14"/>
      <c r="K403" s="240"/>
    </row>
    <row r="404" spans="1:22" ht="12.75" customHeight="1" x14ac:dyDescent="0.25">
      <c r="A404" s="338"/>
      <c r="B404" s="309"/>
      <c r="C404" s="254"/>
      <c r="D404" s="240"/>
      <c r="E404" s="222">
        <v>2025</v>
      </c>
      <c r="F404" s="7">
        <f t="shared" si="69"/>
        <v>2437</v>
      </c>
      <c r="G404" s="7"/>
      <c r="H404" s="7"/>
      <c r="I404" s="7">
        <v>2437</v>
      </c>
      <c r="J404" s="14"/>
      <c r="K404" s="240"/>
    </row>
    <row r="405" spans="1:22" ht="30.75" customHeight="1" x14ac:dyDescent="0.2">
      <c r="A405" s="338"/>
      <c r="B405" s="309"/>
      <c r="C405" s="282"/>
      <c r="D405" s="240"/>
      <c r="E405" s="18" t="s">
        <v>18</v>
      </c>
      <c r="F405" s="9">
        <f>SUM(F394:F404)</f>
        <v>35952.600000000006</v>
      </c>
      <c r="G405" s="9"/>
      <c r="H405" s="9">
        <f>SUM(H394:H399)</f>
        <v>0</v>
      </c>
      <c r="I405" s="9">
        <f>SUM(I394:I404)</f>
        <v>35952.600000000006</v>
      </c>
      <c r="J405" s="44"/>
      <c r="K405" s="241"/>
    </row>
    <row r="406" spans="1:22" ht="13.5" customHeight="1" x14ac:dyDescent="0.25">
      <c r="A406" s="319" t="s">
        <v>231</v>
      </c>
      <c r="B406" s="251" t="s">
        <v>232</v>
      </c>
      <c r="C406" s="237" t="s">
        <v>401</v>
      </c>
      <c r="D406" s="283" t="s">
        <v>207</v>
      </c>
      <c r="E406" s="222">
        <v>2016</v>
      </c>
      <c r="F406" s="7">
        <f>G406+H406+I406</f>
        <v>42</v>
      </c>
      <c r="G406" s="8"/>
      <c r="H406" s="8"/>
      <c r="I406" s="7">
        <v>42</v>
      </c>
      <c r="J406" s="14"/>
      <c r="K406" s="283" t="s">
        <v>134</v>
      </c>
      <c r="L406" s="99"/>
    </row>
    <row r="407" spans="1:22" ht="13.5" customHeight="1" x14ac:dyDescent="0.25">
      <c r="A407" s="319"/>
      <c r="B407" s="251"/>
      <c r="C407" s="237"/>
      <c r="D407" s="283"/>
      <c r="E407" s="222">
        <v>2017</v>
      </c>
      <c r="F407" s="7">
        <f t="shared" ref="F407:F410" si="70">G407+H407+I407</f>
        <v>693.9</v>
      </c>
      <c r="G407" s="8"/>
      <c r="H407" s="8"/>
      <c r="I407" s="7">
        <v>693.9</v>
      </c>
      <c r="J407" s="14"/>
      <c r="K407" s="283"/>
      <c r="L407" s="99"/>
    </row>
    <row r="408" spans="1:22" ht="13.5" customHeight="1" x14ac:dyDescent="0.25">
      <c r="A408" s="319"/>
      <c r="B408" s="251"/>
      <c r="C408" s="237"/>
      <c r="D408" s="283"/>
      <c r="E408" s="222">
        <v>2018</v>
      </c>
      <c r="F408" s="7">
        <f t="shared" si="70"/>
        <v>200</v>
      </c>
      <c r="G408" s="8"/>
      <c r="H408" s="8"/>
      <c r="I408" s="7">
        <v>200</v>
      </c>
      <c r="J408" s="14"/>
      <c r="K408" s="283"/>
      <c r="L408" s="99"/>
    </row>
    <row r="409" spans="1:22" ht="13.5" customHeight="1" x14ac:dyDescent="0.25">
      <c r="A409" s="319"/>
      <c r="B409" s="251"/>
      <c r="C409" s="237"/>
      <c r="D409" s="283"/>
      <c r="E409" s="222">
        <v>2019</v>
      </c>
      <c r="F409" s="7">
        <f t="shared" si="70"/>
        <v>500</v>
      </c>
      <c r="G409" s="8"/>
      <c r="H409" s="8"/>
      <c r="I409" s="7">
        <f>200+300</f>
        <v>500</v>
      </c>
      <c r="J409" s="14"/>
      <c r="K409" s="283"/>
      <c r="L409" s="99"/>
    </row>
    <row r="410" spans="1:22" ht="12.75" customHeight="1" x14ac:dyDescent="0.25">
      <c r="A410" s="319"/>
      <c r="B410" s="251"/>
      <c r="C410" s="237"/>
      <c r="D410" s="283"/>
      <c r="E410" s="222">
        <v>2020</v>
      </c>
      <c r="F410" s="7">
        <f t="shared" si="70"/>
        <v>230</v>
      </c>
      <c r="G410" s="8"/>
      <c r="H410" s="8"/>
      <c r="I410" s="7">
        <f>200-200+230</f>
        <v>230</v>
      </c>
      <c r="J410" s="14"/>
      <c r="K410" s="283"/>
    </row>
    <row r="411" spans="1:22" ht="12.75" customHeight="1" x14ac:dyDescent="0.25">
      <c r="A411" s="319"/>
      <c r="B411" s="251"/>
      <c r="C411" s="237"/>
      <c r="D411" s="283"/>
      <c r="E411" s="222">
        <v>2021</v>
      </c>
      <c r="F411" s="7">
        <f t="shared" ref="F411" si="71">G411+H411+I411</f>
        <v>0</v>
      </c>
      <c r="G411" s="8"/>
      <c r="H411" s="8"/>
      <c r="I411" s="7">
        <v>0</v>
      </c>
      <c r="J411" s="14"/>
      <c r="K411" s="283"/>
    </row>
    <row r="412" spans="1:22" ht="18" customHeight="1" x14ac:dyDescent="0.2">
      <c r="A412" s="319"/>
      <c r="B412" s="251"/>
      <c r="C412" s="237"/>
      <c r="D412" s="283"/>
      <c r="E412" s="18" t="s">
        <v>18</v>
      </c>
      <c r="F412" s="8">
        <f>SUM(F406:F411)</f>
        <v>1665.9</v>
      </c>
      <c r="G412" s="8"/>
      <c r="H412" s="8">
        <v>0</v>
      </c>
      <c r="I412" s="8">
        <f>SUM(I406:I411)</f>
        <v>1665.9</v>
      </c>
      <c r="J412" s="14"/>
      <c r="K412" s="283"/>
      <c r="P412" s="99"/>
    </row>
    <row r="413" spans="1:22" ht="13.5" customHeight="1" x14ac:dyDescent="0.25">
      <c r="A413" s="534" t="s">
        <v>277</v>
      </c>
      <c r="B413" s="252" t="s">
        <v>254</v>
      </c>
      <c r="C413" s="296" t="s">
        <v>406</v>
      </c>
      <c r="D413" s="239" t="s">
        <v>207</v>
      </c>
      <c r="E413" s="222">
        <v>2017</v>
      </c>
      <c r="F413" s="10">
        <f>G413+H413+I413</f>
        <v>1046.7</v>
      </c>
      <c r="G413" s="9"/>
      <c r="H413" s="10">
        <f>1906.7-860</f>
        <v>1046.7</v>
      </c>
      <c r="I413" s="10"/>
      <c r="J413" s="22"/>
      <c r="K413" s="239" t="s">
        <v>256</v>
      </c>
      <c r="L413" s="99"/>
    </row>
    <row r="414" spans="1:22" ht="13.5" customHeight="1" x14ac:dyDescent="0.25">
      <c r="A414" s="300"/>
      <c r="B414" s="377"/>
      <c r="C414" s="253"/>
      <c r="D414" s="240"/>
      <c r="E414" s="222">
        <v>2018</v>
      </c>
      <c r="F414" s="10">
        <f t="shared" ref="F414:F416" si="72">G414+H414+I414</f>
        <v>1772.6</v>
      </c>
      <c r="G414" s="9"/>
      <c r="H414" s="10">
        <f>2127.6-355</f>
        <v>1772.6</v>
      </c>
      <c r="I414" s="10"/>
      <c r="J414" s="22"/>
      <c r="K414" s="240"/>
      <c r="L414" s="99"/>
    </row>
    <row r="415" spans="1:22" ht="13.5" customHeight="1" x14ac:dyDescent="0.25">
      <c r="A415" s="300"/>
      <c r="B415" s="377"/>
      <c r="C415" s="253"/>
      <c r="D415" s="240"/>
      <c r="E415" s="222">
        <v>2019</v>
      </c>
      <c r="F415" s="10">
        <f t="shared" si="72"/>
        <v>1807.8</v>
      </c>
      <c r="G415" s="9"/>
      <c r="H415" s="10">
        <f>1890.8-53-30</f>
        <v>1807.8</v>
      </c>
      <c r="I415" s="10"/>
      <c r="J415" s="22"/>
      <c r="K415" s="240"/>
      <c r="L415" s="99"/>
    </row>
    <row r="416" spans="1:22" ht="13.5" customHeight="1" x14ac:dyDescent="0.25">
      <c r="A416" s="300"/>
      <c r="B416" s="377"/>
      <c r="C416" s="253"/>
      <c r="D416" s="240"/>
      <c r="E416" s="222">
        <v>2020</v>
      </c>
      <c r="F416" s="10">
        <f t="shared" si="72"/>
        <v>2648.6</v>
      </c>
      <c r="G416" s="9"/>
      <c r="H416" s="10">
        <f>1899.8+748.8</f>
        <v>2648.6</v>
      </c>
      <c r="I416" s="9"/>
      <c r="J416" s="22"/>
      <c r="K416" s="240"/>
      <c r="L416" s="99"/>
    </row>
    <row r="417" spans="1:12" ht="13.5" customHeight="1" x14ac:dyDescent="0.25">
      <c r="A417" s="300"/>
      <c r="B417" s="377"/>
      <c r="C417" s="253"/>
      <c r="D417" s="240"/>
      <c r="E417" s="222">
        <v>2021</v>
      </c>
      <c r="F417" s="10">
        <f>G417+H417+I417</f>
        <v>2598.6</v>
      </c>
      <c r="G417" s="9"/>
      <c r="H417" s="10">
        <f>1909.1+689.5</f>
        <v>2598.6</v>
      </c>
      <c r="I417" s="10"/>
      <c r="J417" s="22"/>
      <c r="K417" s="240"/>
      <c r="L417" s="99"/>
    </row>
    <row r="418" spans="1:12" ht="13.5" customHeight="1" x14ac:dyDescent="0.25">
      <c r="A418" s="300"/>
      <c r="B418" s="377"/>
      <c r="C418" s="253"/>
      <c r="D418" s="240"/>
      <c r="E418" s="222">
        <v>2022</v>
      </c>
      <c r="F418" s="10">
        <f t="shared" ref="F418:F420" si="73">G418+H418+I418</f>
        <v>2598.6</v>
      </c>
      <c r="G418" s="9"/>
      <c r="H418" s="10">
        <f>2000+598.6</f>
        <v>2598.6</v>
      </c>
      <c r="I418" s="10"/>
      <c r="J418" s="22"/>
      <c r="K418" s="240"/>
      <c r="L418" s="99"/>
    </row>
    <row r="419" spans="1:12" ht="13.5" customHeight="1" x14ac:dyDescent="0.25">
      <c r="A419" s="300"/>
      <c r="B419" s="377"/>
      <c r="C419" s="253"/>
      <c r="D419" s="240"/>
      <c r="E419" s="222">
        <v>2023</v>
      </c>
      <c r="F419" s="10">
        <f t="shared" si="73"/>
        <v>2092</v>
      </c>
      <c r="G419" s="9"/>
      <c r="H419" s="10">
        <v>2092</v>
      </c>
      <c r="I419" s="10"/>
      <c r="J419" s="22"/>
      <c r="K419" s="240"/>
      <c r="L419" s="99"/>
    </row>
    <row r="420" spans="1:12" ht="13.5" customHeight="1" x14ac:dyDescent="0.25">
      <c r="A420" s="300"/>
      <c r="B420" s="377"/>
      <c r="C420" s="253"/>
      <c r="D420" s="240"/>
      <c r="E420" s="222">
        <v>2024</v>
      </c>
      <c r="F420" s="10">
        <f t="shared" si="73"/>
        <v>2188.1999999999998</v>
      </c>
      <c r="G420" s="9"/>
      <c r="H420" s="10">
        <v>2188.1999999999998</v>
      </c>
      <c r="I420" s="9"/>
      <c r="J420" s="22"/>
      <c r="K420" s="240"/>
      <c r="L420" s="99"/>
    </row>
    <row r="421" spans="1:12" ht="13.5" customHeight="1" x14ac:dyDescent="0.25">
      <c r="A421" s="300"/>
      <c r="B421" s="377"/>
      <c r="C421" s="253"/>
      <c r="D421" s="240"/>
      <c r="E421" s="222">
        <v>2025</v>
      </c>
      <c r="F421" s="10">
        <f t="shared" ref="F421" si="74">G421+H421+I421</f>
        <v>2288.9</v>
      </c>
      <c r="G421" s="9"/>
      <c r="H421" s="10">
        <v>2288.9</v>
      </c>
      <c r="I421" s="9"/>
      <c r="J421" s="22"/>
      <c r="K421" s="240"/>
      <c r="L421" s="99"/>
    </row>
    <row r="422" spans="1:12" ht="64.5" customHeight="1" x14ac:dyDescent="0.2">
      <c r="A422" s="300"/>
      <c r="B422" s="250"/>
      <c r="C422" s="253"/>
      <c r="D422" s="240"/>
      <c r="E422" s="26" t="s">
        <v>18</v>
      </c>
      <c r="F422" s="9">
        <f>SUM(F413:F421)</f>
        <v>19042.000000000004</v>
      </c>
      <c r="G422" s="9"/>
      <c r="H422" s="9">
        <f>SUM(H413:H421)</f>
        <v>19042.000000000004</v>
      </c>
      <c r="I422" s="9">
        <f>SUM(I413:I416)</f>
        <v>0</v>
      </c>
      <c r="J422" s="22"/>
      <c r="K422" s="240"/>
    </row>
    <row r="423" spans="1:12" ht="13.5" customHeight="1" x14ac:dyDescent="0.25">
      <c r="A423" s="534" t="s">
        <v>295</v>
      </c>
      <c r="B423" s="252" t="s">
        <v>293</v>
      </c>
      <c r="C423" s="296" t="s">
        <v>406</v>
      </c>
      <c r="D423" s="239" t="s">
        <v>207</v>
      </c>
      <c r="E423" s="222">
        <v>2017</v>
      </c>
      <c r="F423" s="10">
        <f>G423+H423+I423</f>
        <v>163</v>
      </c>
      <c r="G423" s="9"/>
      <c r="H423" s="10"/>
      <c r="I423" s="10">
        <v>163</v>
      </c>
      <c r="J423" s="22"/>
      <c r="K423" s="323" t="s">
        <v>376</v>
      </c>
      <c r="L423" s="99"/>
    </row>
    <row r="424" spans="1:12" ht="13.5" customHeight="1" x14ac:dyDescent="0.25">
      <c r="A424" s="300"/>
      <c r="B424" s="377"/>
      <c r="C424" s="253"/>
      <c r="D424" s="240"/>
      <c r="E424" s="222">
        <v>2018</v>
      </c>
      <c r="F424" s="10">
        <f t="shared" ref="F424:F426" si="75">G424+H424+I424</f>
        <v>245</v>
      </c>
      <c r="G424" s="9"/>
      <c r="H424" s="9"/>
      <c r="I424" s="10">
        <f>220+25</f>
        <v>245</v>
      </c>
      <c r="J424" s="22"/>
      <c r="K424" s="324"/>
      <c r="L424" s="99" t="s">
        <v>341</v>
      </c>
    </row>
    <row r="425" spans="1:12" ht="13.5" customHeight="1" x14ac:dyDescent="0.25">
      <c r="A425" s="300"/>
      <c r="B425" s="377"/>
      <c r="C425" s="253"/>
      <c r="D425" s="240"/>
      <c r="E425" s="222">
        <v>2019</v>
      </c>
      <c r="F425" s="10">
        <f t="shared" si="75"/>
        <v>480.4</v>
      </c>
      <c r="G425" s="9"/>
      <c r="H425" s="9"/>
      <c r="I425" s="10">
        <f>350+130.4</f>
        <v>480.4</v>
      </c>
      <c r="J425" s="22"/>
      <c r="K425" s="324"/>
      <c r="L425" s="99"/>
    </row>
    <row r="426" spans="1:12" ht="13.5" customHeight="1" x14ac:dyDescent="0.25">
      <c r="A426" s="300"/>
      <c r="B426" s="377"/>
      <c r="C426" s="253"/>
      <c r="D426" s="240"/>
      <c r="E426" s="222">
        <v>2020</v>
      </c>
      <c r="F426" s="10">
        <f t="shared" si="75"/>
        <v>375</v>
      </c>
      <c r="G426" s="9"/>
      <c r="H426" s="9"/>
      <c r="I426" s="10">
        <v>375</v>
      </c>
      <c r="J426" s="22"/>
      <c r="K426" s="324"/>
      <c r="L426" s="99"/>
    </row>
    <row r="427" spans="1:12" ht="13.5" customHeight="1" x14ac:dyDescent="0.25">
      <c r="A427" s="300"/>
      <c r="B427" s="377"/>
      <c r="C427" s="253"/>
      <c r="D427" s="240"/>
      <c r="E427" s="222">
        <v>2021</v>
      </c>
      <c r="F427" s="10">
        <f>G427+H427+I427</f>
        <v>0</v>
      </c>
      <c r="G427" s="9"/>
      <c r="H427" s="10"/>
      <c r="I427" s="10">
        <v>0</v>
      </c>
      <c r="J427" s="22"/>
      <c r="K427" s="324"/>
      <c r="L427" s="99"/>
    </row>
    <row r="428" spans="1:12" ht="13.5" customHeight="1" x14ac:dyDescent="0.25">
      <c r="A428" s="300"/>
      <c r="B428" s="377"/>
      <c r="C428" s="253"/>
      <c r="D428" s="240"/>
      <c r="E428" s="222">
        <v>2022</v>
      </c>
      <c r="F428" s="10">
        <f t="shared" ref="F428:F430" si="76">G428+H428+I428</f>
        <v>0</v>
      </c>
      <c r="G428" s="9"/>
      <c r="H428" s="9"/>
      <c r="I428" s="10">
        <v>0</v>
      </c>
      <c r="J428" s="22"/>
      <c r="K428" s="324"/>
      <c r="L428" s="99" t="s">
        <v>341</v>
      </c>
    </row>
    <row r="429" spans="1:12" ht="13.5" customHeight="1" x14ac:dyDescent="0.25">
      <c r="A429" s="300"/>
      <c r="B429" s="377"/>
      <c r="C429" s="253"/>
      <c r="D429" s="240"/>
      <c r="E429" s="222">
        <v>2023</v>
      </c>
      <c r="F429" s="10">
        <f t="shared" si="76"/>
        <v>0</v>
      </c>
      <c r="G429" s="9"/>
      <c r="H429" s="9"/>
      <c r="I429" s="10">
        <v>0</v>
      </c>
      <c r="J429" s="22"/>
      <c r="K429" s="324"/>
      <c r="L429" s="99"/>
    </row>
    <row r="430" spans="1:12" ht="13.5" customHeight="1" x14ac:dyDescent="0.25">
      <c r="A430" s="300"/>
      <c r="B430" s="377"/>
      <c r="C430" s="253"/>
      <c r="D430" s="240"/>
      <c r="E430" s="222">
        <v>2024</v>
      </c>
      <c r="F430" s="10">
        <f t="shared" si="76"/>
        <v>0</v>
      </c>
      <c r="G430" s="9"/>
      <c r="H430" s="9"/>
      <c r="I430" s="10">
        <v>0</v>
      </c>
      <c r="J430" s="22"/>
      <c r="K430" s="324"/>
      <c r="L430" s="99"/>
    </row>
    <row r="431" spans="1:12" ht="13.5" customHeight="1" x14ac:dyDescent="0.25">
      <c r="A431" s="300"/>
      <c r="B431" s="377"/>
      <c r="C431" s="253"/>
      <c r="D431" s="240"/>
      <c r="E431" s="222">
        <v>2025</v>
      </c>
      <c r="F431" s="10">
        <f t="shared" ref="F431" si="77">G431+H431+I431</f>
        <v>0</v>
      </c>
      <c r="G431" s="9"/>
      <c r="H431" s="9"/>
      <c r="I431" s="10">
        <v>0</v>
      </c>
      <c r="J431" s="22"/>
      <c r="K431" s="324"/>
      <c r="L431" s="99"/>
    </row>
    <row r="432" spans="1:12" ht="19.5" customHeight="1" thickBot="1" x14ac:dyDescent="0.25">
      <c r="A432" s="300"/>
      <c r="B432" s="250"/>
      <c r="C432" s="253"/>
      <c r="D432" s="240"/>
      <c r="E432" s="26" t="s">
        <v>18</v>
      </c>
      <c r="F432" s="9">
        <f>SUM(F423:F431)</f>
        <v>1263.4000000000001</v>
      </c>
      <c r="G432" s="9"/>
      <c r="H432" s="9">
        <f t="shared" ref="H432" si="78">SUM(H423:H426)</f>
        <v>0</v>
      </c>
      <c r="I432" s="9">
        <f>SUM(I423:I431)</f>
        <v>1263.4000000000001</v>
      </c>
      <c r="J432" s="22"/>
      <c r="K432" s="324"/>
    </row>
    <row r="433" spans="1:32" ht="15.75" thickBot="1" x14ac:dyDescent="0.3">
      <c r="A433" s="257" t="s">
        <v>175</v>
      </c>
      <c r="B433" s="243"/>
      <c r="C433" s="243"/>
      <c r="D433" s="243"/>
      <c r="E433" s="49"/>
      <c r="F433" s="150">
        <f>F393+F386+F374+F405+F412+F422+F432</f>
        <v>533915.5</v>
      </c>
      <c r="G433" s="148"/>
      <c r="H433" s="149">
        <f>H393+H386+H374+H405+H412+H422+H432</f>
        <v>488522</v>
      </c>
      <c r="I433" s="149">
        <f>I393+I386+I374+I405+I412+I422+I432</f>
        <v>45393.500000000007</v>
      </c>
      <c r="J433" s="102"/>
      <c r="K433" s="103"/>
      <c r="M433" s="126"/>
      <c r="N433" s="127"/>
    </row>
    <row r="434" spans="1:32" ht="16.5" thickBot="1" x14ac:dyDescent="0.3">
      <c r="A434" s="537" t="s">
        <v>180</v>
      </c>
      <c r="B434" s="538"/>
      <c r="C434" s="538"/>
      <c r="D434" s="538"/>
      <c r="E434" s="538"/>
      <c r="F434" s="100"/>
      <c r="G434" s="100"/>
      <c r="H434" s="100"/>
      <c r="I434" s="101"/>
      <c r="J434" s="101"/>
      <c r="K434" s="101"/>
      <c r="L434" s="52"/>
      <c r="M434" s="52"/>
      <c r="N434" s="52"/>
      <c r="O434" s="52"/>
      <c r="P434" s="52"/>
      <c r="Q434" s="52"/>
      <c r="R434" s="52"/>
      <c r="S434" s="52"/>
      <c r="T434" s="52"/>
      <c r="U434" s="52"/>
      <c r="V434" s="52"/>
      <c r="W434" s="52"/>
      <c r="X434" s="52"/>
      <c r="Y434" s="52"/>
      <c r="Z434" s="52"/>
      <c r="AA434" s="52"/>
      <c r="AB434" s="52"/>
      <c r="AC434" s="52"/>
      <c r="AD434" s="52"/>
      <c r="AE434" s="52"/>
      <c r="AF434" s="53"/>
    </row>
    <row r="435" spans="1:32" ht="15" x14ac:dyDescent="0.25">
      <c r="A435" s="539" t="s">
        <v>278</v>
      </c>
      <c r="B435" s="235" t="s">
        <v>434</v>
      </c>
      <c r="C435" s="296" t="s">
        <v>405</v>
      </c>
      <c r="D435" s="239" t="s">
        <v>207</v>
      </c>
      <c r="E435" s="222">
        <v>2015</v>
      </c>
      <c r="F435" s="7">
        <f t="shared" ref="F435:F440" si="79">SUM(G435:I435)</f>
        <v>175</v>
      </c>
      <c r="G435" s="7"/>
      <c r="H435" s="7"/>
      <c r="I435" s="7">
        <v>175</v>
      </c>
      <c r="J435" s="14"/>
      <c r="K435" s="239" t="s">
        <v>144</v>
      </c>
    </row>
    <row r="436" spans="1:32" ht="15" x14ac:dyDescent="0.25">
      <c r="A436" s="540"/>
      <c r="B436" s="236"/>
      <c r="C436" s="254"/>
      <c r="D436" s="240"/>
      <c r="E436" s="222">
        <v>2016</v>
      </c>
      <c r="F436" s="7">
        <f t="shared" si="79"/>
        <v>195</v>
      </c>
      <c r="G436" s="7"/>
      <c r="H436" s="7"/>
      <c r="I436" s="7">
        <f>185+10</f>
        <v>195</v>
      </c>
      <c r="J436" s="14"/>
      <c r="K436" s="240"/>
    </row>
    <row r="437" spans="1:32" ht="15" x14ac:dyDescent="0.25">
      <c r="A437" s="540"/>
      <c r="B437" s="236"/>
      <c r="C437" s="254"/>
      <c r="D437" s="240"/>
      <c r="E437" s="222">
        <v>2017</v>
      </c>
      <c r="F437" s="7">
        <f t="shared" si="79"/>
        <v>151.5</v>
      </c>
      <c r="G437" s="7"/>
      <c r="H437" s="7"/>
      <c r="I437" s="7">
        <v>151.5</v>
      </c>
      <c r="J437" s="14"/>
      <c r="K437" s="240"/>
      <c r="L437" s="99"/>
    </row>
    <row r="438" spans="1:32" ht="15" x14ac:dyDescent="0.25">
      <c r="A438" s="540"/>
      <c r="B438" s="236"/>
      <c r="C438" s="254"/>
      <c r="D438" s="240"/>
      <c r="E438" s="222">
        <v>2018</v>
      </c>
      <c r="F438" s="7">
        <f t="shared" si="79"/>
        <v>223.2</v>
      </c>
      <c r="G438" s="7"/>
      <c r="H438" s="7"/>
      <c r="I438" s="7">
        <f>205+18.2</f>
        <v>223.2</v>
      </c>
      <c r="J438" s="14"/>
      <c r="K438" s="240"/>
      <c r="L438" s="99"/>
    </row>
    <row r="439" spans="1:32" ht="15" x14ac:dyDescent="0.25">
      <c r="A439" s="540"/>
      <c r="B439" s="236"/>
      <c r="C439" s="254"/>
      <c r="D439" s="240"/>
      <c r="E439" s="222">
        <v>2019</v>
      </c>
      <c r="F439" s="7">
        <f t="shared" si="79"/>
        <v>215</v>
      </c>
      <c r="G439" s="7"/>
      <c r="H439" s="7"/>
      <c r="I439" s="7">
        <v>215</v>
      </c>
      <c r="J439" s="14"/>
      <c r="K439" s="240"/>
      <c r="L439" s="99"/>
    </row>
    <row r="440" spans="1:32" ht="15" x14ac:dyDescent="0.25">
      <c r="A440" s="540"/>
      <c r="B440" s="236"/>
      <c r="C440" s="254"/>
      <c r="D440" s="240"/>
      <c r="E440" s="222">
        <v>2020</v>
      </c>
      <c r="F440" s="7">
        <f t="shared" si="79"/>
        <v>230</v>
      </c>
      <c r="G440" s="7"/>
      <c r="H440" s="7"/>
      <c r="I440" s="7">
        <f>100+130</f>
        <v>230</v>
      </c>
      <c r="J440" s="14"/>
      <c r="K440" s="240"/>
    </row>
    <row r="441" spans="1:32" ht="15" x14ac:dyDescent="0.25">
      <c r="A441" s="540"/>
      <c r="B441" s="236"/>
      <c r="C441" s="254"/>
      <c r="D441" s="240"/>
      <c r="E441" s="222">
        <v>2021</v>
      </c>
      <c r="F441" s="7">
        <f t="shared" ref="F441:F445" si="80">SUM(G441:I441)</f>
        <v>0</v>
      </c>
      <c r="G441" s="7"/>
      <c r="H441" s="7"/>
      <c r="I441" s="7">
        <f>50-50</f>
        <v>0</v>
      </c>
      <c r="J441" s="14"/>
      <c r="K441" s="240"/>
    </row>
    <row r="442" spans="1:32" ht="15" x14ac:dyDescent="0.25">
      <c r="A442" s="540"/>
      <c r="B442" s="236"/>
      <c r="C442" s="254"/>
      <c r="D442" s="240"/>
      <c r="E442" s="222">
        <v>2022</v>
      </c>
      <c r="F442" s="7">
        <f t="shared" si="80"/>
        <v>0</v>
      </c>
      <c r="G442" s="7"/>
      <c r="H442" s="7"/>
      <c r="I442" s="7">
        <f>50-50</f>
        <v>0</v>
      </c>
      <c r="J442" s="14"/>
      <c r="K442" s="240"/>
      <c r="L442" s="99"/>
    </row>
    <row r="443" spans="1:32" ht="15" x14ac:dyDescent="0.25">
      <c r="A443" s="540"/>
      <c r="B443" s="236"/>
      <c r="C443" s="254"/>
      <c r="D443" s="240"/>
      <c r="E443" s="222">
        <v>2023</v>
      </c>
      <c r="F443" s="7">
        <f t="shared" si="80"/>
        <v>52</v>
      </c>
      <c r="G443" s="7"/>
      <c r="H443" s="7"/>
      <c r="I443" s="7">
        <v>52</v>
      </c>
      <c r="J443" s="14"/>
      <c r="K443" s="240"/>
      <c r="L443" s="99"/>
    </row>
    <row r="444" spans="1:32" ht="15" x14ac:dyDescent="0.25">
      <c r="A444" s="540"/>
      <c r="B444" s="236"/>
      <c r="C444" s="254"/>
      <c r="D444" s="240"/>
      <c r="E444" s="222">
        <v>2024</v>
      </c>
      <c r="F444" s="7">
        <f t="shared" si="80"/>
        <v>55</v>
      </c>
      <c r="G444" s="7"/>
      <c r="H444" s="7"/>
      <c r="I444" s="7">
        <v>55</v>
      </c>
      <c r="J444" s="14"/>
      <c r="K444" s="240"/>
      <c r="L444" s="99"/>
    </row>
    <row r="445" spans="1:32" ht="15" x14ac:dyDescent="0.25">
      <c r="A445" s="540"/>
      <c r="B445" s="236"/>
      <c r="C445" s="254"/>
      <c r="D445" s="240"/>
      <c r="E445" s="222">
        <v>2025</v>
      </c>
      <c r="F445" s="7">
        <f t="shared" si="80"/>
        <v>57</v>
      </c>
      <c r="G445" s="7"/>
      <c r="H445" s="7"/>
      <c r="I445" s="7">
        <v>57</v>
      </c>
      <c r="J445" s="14"/>
      <c r="K445" s="240"/>
    </row>
    <row r="446" spans="1:32" ht="58.5" customHeight="1" x14ac:dyDescent="0.2">
      <c r="A446" s="540"/>
      <c r="B446" s="236"/>
      <c r="C446" s="254"/>
      <c r="D446" s="240"/>
      <c r="E446" s="26" t="s">
        <v>18</v>
      </c>
      <c r="F446" s="9">
        <f>SUM(F435:F445)</f>
        <v>1353.7</v>
      </c>
      <c r="G446" s="9"/>
      <c r="H446" s="9"/>
      <c r="I446" s="9">
        <f>SUM(I435:I445)</f>
        <v>1353.7</v>
      </c>
      <c r="J446" s="22"/>
      <c r="K446" s="241"/>
    </row>
    <row r="447" spans="1:32" ht="15" x14ac:dyDescent="0.25">
      <c r="A447" s="535" t="s">
        <v>279</v>
      </c>
      <c r="B447" s="235" t="s">
        <v>80</v>
      </c>
      <c r="C447" s="237" t="s">
        <v>405</v>
      </c>
      <c r="D447" s="239" t="s">
        <v>207</v>
      </c>
      <c r="E447" s="222">
        <v>2017</v>
      </c>
      <c r="F447" s="7">
        <f t="shared" ref="F447:F450" si="81">SUM(G447:I447)</f>
        <v>200</v>
      </c>
      <c r="G447" s="7"/>
      <c r="H447" s="7"/>
      <c r="I447" s="7">
        <v>200</v>
      </c>
      <c r="J447" s="14"/>
      <c r="K447" s="239" t="s">
        <v>159</v>
      </c>
      <c r="L447" s="99"/>
    </row>
    <row r="448" spans="1:32" ht="15" x14ac:dyDescent="0.25">
      <c r="A448" s="536"/>
      <c r="B448" s="236"/>
      <c r="C448" s="238"/>
      <c r="D448" s="240"/>
      <c r="E448" s="222">
        <v>2018</v>
      </c>
      <c r="F448" s="7">
        <f t="shared" si="81"/>
        <v>240</v>
      </c>
      <c r="G448" s="7"/>
      <c r="H448" s="7"/>
      <c r="I448" s="7">
        <v>240</v>
      </c>
      <c r="J448" s="14"/>
      <c r="K448" s="240"/>
    </row>
    <row r="449" spans="1:32" ht="15" x14ac:dyDescent="0.25">
      <c r="A449" s="536"/>
      <c r="B449" s="236"/>
      <c r="C449" s="238"/>
      <c r="D449" s="240"/>
      <c r="E449" s="222">
        <v>2019</v>
      </c>
      <c r="F449" s="7">
        <f t="shared" si="81"/>
        <v>220</v>
      </c>
      <c r="G449" s="7"/>
      <c r="H449" s="7"/>
      <c r="I449" s="7">
        <v>220</v>
      </c>
      <c r="J449" s="14"/>
      <c r="K449" s="240"/>
      <c r="L449" s="99"/>
    </row>
    <row r="450" spans="1:32" ht="15" x14ac:dyDescent="0.25">
      <c r="A450" s="536"/>
      <c r="B450" s="236"/>
      <c r="C450" s="238"/>
      <c r="D450" s="240"/>
      <c r="E450" s="222">
        <v>2020</v>
      </c>
      <c r="F450" s="7">
        <f t="shared" si="81"/>
        <v>200</v>
      </c>
      <c r="G450" s="7"/>
      <c r="H450" s="7"/>
      <c r="I450" s="7">
        <f>100+100</f>
        <v>200</v>
      </c>
      <c r="J450" s="14"/>
      <c r="K450" s="240"/>
      <c r="L450" s="99"/>
    </row>
    <row r="451" spans="1:32" ht="15" x14ac:dyDescent="0.25">
      <c r="A451" s="536"/>
      <c r="B451" s="236"/>
      <c r="C451" s="238"/>
      <c r="D451" s="240"/>
      <c r="E451" s="222">
        <v>2021</v>
      </c>
      <c r="F451" s="7">
        <f t="shared" ref="F451:F454" si="82">SUM(G451:I451)</f>
        <v>0</v>
      </c>
      <c r="G451" s="7"/>
      <c r="H451" s="7"/>
      <c r="I451" s="7">
        <f>50-50</f>
        <v>0</v>
      </c>
      <c r="J451" s="14"/>
      <c r="K451" s="240"/>
      <c r="L451" s="99"/>
    </row>
    <row r="452" spans="1:32" ht="15" x14ac:dyDescent="0.25">
      <c r="A452" s="536"/>
      <c r="B452" s="236"/>
      <c r="C452" s="238"/>
      <c r="D452" s="240"/>
      <c r="E452" s="222">
        <v>2022</v>
      </c>
      <c r="F452" s="7">
        <f t="shared" si="82"/>
        <v>0</v>
      </c>
      <c r="G452" s="7"/>
      <c r="H452" s="7"/>
      <c r="I452" s="7">
        <f>50-50</f>
        <v>0</v>
      </c>
      <c r="J452" s="14"/>
      <c r="K452" s="240"/>
    </row>
    <row r="453" spans="1:32" ht="15" x14ac:dyDescent="0.25">
      <c r="A453" s="536"/>
      <c r="B453" s="236"/>
      <c r="C453" s="238"/>
      <c r="D453" s="240"/>
      <c r="E453" s="222">
        <v>2023</v>
      </c>
      <c r="F453" s="7">
        <f t="shared" si="82"/>
        <v>52</v>
      </c>
      <c r="G453" s="7"/>
      <c r="H453" s="7"/>
      <c r="I453" s="7">
        <v>52</v>
      </c>
      <c r="J453" s="14"/>
      <c r="K453" s="240"/>
      <c r="L453" s="99"/>
    </row>
    <row r="454" spans="1:32" ht="15" x14ac:dyDescent="0.25">
      <c r="A454" s="536"/>
      <c r="B454" s="236"/>
      <c r="C454" s="238"/>
      <c r="D454" s="240"/>
      <c r="E454" s="222">
        <v>2024</v>
      </c>
      <c r="F454" s="7">
        <f t="shared" si="82"/>
        <v>55</v>
      </c>
      <c r="G454" s="7"/>
      <c r="H454" s="7"/>
      <c r="I454" s="7">
        <v>55</v>
      </c>
      <c r="J454" s="14"/>
      <c r="K454" s="240"/>
      <c r="L454" s="99"/>
    </row>
    <row r="455" spans="1:32" ht="15" x14ac:dyDescent="0.25">
      <c r="A455" s="536"/>
      <c r="B455" s="236"/>
      <c r="C455" s="238"/>
      <c r="D455" s="240"/>
      <c r="E455" s="222">
        <v>2025</v>
      </c>
      <c r="F455" s="7">
        <f t="shared" ref="F455" si="83">SUM(G455:I455)</f>
        <v>57</v>
      </c>
      <c r="G455" s="7"/>
      <c r="H455" s="7"/>
      <c r="I455" s="7">
        <v>57</v>
      </c>
      <c r="J455" s="14"/>
      <c r="K455" s="240"/>
      <c r="L455" s="99"/>
    </row>
    <row r="456" spans="1:32" ht="58.5" customHeight="1" thickBot="1" x14ac:dyDescent="0.25">
      <c r="A456" s="536"/>
      <c r="B456" s="236"/>
      <c r="C456" s="238"/>
      <c r="D456" s="240"/>
      <c r="E456" s="26" t="s">
        <v>18</v>
      </c>
      <c r="F456" s="9">
        <f>SUM(F447:F455)</f>
        <v>1024</v>
      </c>
      <c r="G456" s="9"/>
      <c r="H456" s="9"/>
      <c r="I456" s="9">
        <f>SUM(I447:I455)</f>
        <v>1024</v>
      </c>
      <c r="J456" s="22"/>
      <c r="K456" s="241"/>
    </row>
    <row r="457" spans="1:32" ht="15.75" thickBot="1" x14ac:dyDescent="0.3">
      <c r="A457" s="242" t="s">
        <v>187</v>
      </c>
      <c r="B457" s="243"/>
      <c r="C457" s="244"/>
      <c r="D457" s="243"/>
      <c r="E457" s="54"/>
      <c r="F457" s="140">
        <f>F456+F446</f>
        <v>2377.6999999999998</v>
      </c>
      <c r="G457" s="151"/>
      <c r="H457" s="140">
        <f>H456+H446</f>
        <v>0</v>
      </c>
      <c r="I457" s="140">
        <f>I456+I446</f>
        <v>2377.6999999999998</v>
      </c>
      <c r="J457" s="50"/>
      <c r="K457" s="51"/>
      <c r="L457" s="126"/>
      <c r="M457" s="127"/>
    </row>
    <row r="458" spans="1:32" ht="16.5" thickBot="1" x14ac:dyDescent="0.25">
      <c r="A458" s="245" t="s">
        <v>181</v>
      </c>
      <c r="B458" s="246"/>
      <c r="C458" s="246"/>
      <c r="D458" s="246"/>
      <c r="E458" s="246"/>
      <c r="F458" s="246"/>
      <c r="G458" s="246"/>
      <c r="H458" s="246"/>
      <c r="I458" s="246"/>
      <c r="J458" s="246"/>
      <c r="K458" s="247"/>
      <c r="L458" s="55"/>
      <c r="M458" s="55"/>
      <c r="N458" s="55"/>
      <c r="O458" s="55"/>
      <c r="P458" s="55"/>
      <c r="Q458" s="55"/>
      <c r="R458" s="55"/>
      <c r="S458" s="55"/>
      <c r="T458" s="55"/>
      <c r="U458" s="55"/>
      <c r="V458" s="55"/>
      <c r="W458" s="55"/>
      <c r="X458" s="55"/>
      <c r="Y458" s="55"/>
      <c r="Z458" s="55"/>
      <c r="AA458" s="55"/>
      <c r="AB458" s="55"/>
      <c r="AC458" s="55"/>
      <c r="AD458" s="55"/>
      <c r="AE458" s="55"/>
      <c r="AF458" s="56"/>
    </row>
    <row r="459" spans="1:32" ht="15" x14ac:dyDescent="0.25">
      <c r="A459" s="248" t="s">
        <v>145</v>
      </c>
      <c r="B459" s="250" t="s">
        <v>290</v>
      </c>
      <c r="C459" s="253" t="s">
        <v>68</v>
      </c>
      <c r="D459" s="240" t="s">
        <v>207</v>
      </c>
      <c r="E459" s="208">
        <v>2015</v>
      </c>
      <c r="F459" s="143">
        <f t="shared" ref="F459:F464" si="84">SUM(G459:I459)</f>
        <v>275</v>
      </c>
      <c r="G459" s="143"/>
      <c r="H459" s="143"/>
      <c r="I459" s="143">
        <v>275</v>
      </c>
      <c r="J459" s="12"/>
      <c r="K459" s="240" t="s">
        <v>146</v>
      </c>
    </row>
    <row r="460" spans="1:32" ht="15" x14ac:dyDescent="0.25">
      <c r="A460" s="249"/>
      <c r="B460" s="251"/>
      <c r="C460" s="254"/>
      <c r="D460" s="240"/>
      <c r="E460" s="222">
        <v>2016</v>
      </c>
      <c r="F460" s="7">
        <f t="shared" si="84"/>
        <v>294.7</v>
      </c>
      <c r="G460" s="7"/>
      <c r="H460" s="7"/>
      <c r="I460" s="7">
        <f>295-0.3</f>
        <v>294.7</v>
      </c>
      <c r="J460" s="14"/>
      <c r="K460" s="240"/>
    </row>
    <row r="461" spans="1:32" ht="15" x14ac:dyDescent="0.25">
      <c r="A461" s="249"/>
      <c r="B461" s="251"/>
      <c r="C461" s="254"/>
      <c r="D461" s="240"/>
      <c r="E461" s="222">
        <v>2017</v>
      </c>
      <c r="F461" s="7">
        <f t="shared" si="84"/>
        <v>0</v>
      </c>
      <c r="G461" s="7"/>
      <c r="H461" s="7"/>
      <c r="I461" s="7">
        <f>240.5-240.5</f>
        <v>0</v>
      </c>
      <c r="J461" s="14"/>
      <c r="K461" s="240"/>
      <c r="L461" s="99" t="s">
        <v>361</v>
      </c>
      <c r="N461" s="99"/>
      <c r="O461" s="99"/>
    </row>
    <row r="462" spans="1:32" ht="15" x14ac:dyDescent="0.25">
      <c r="A462" s="249"/>
      <c r="B462" s="251"/>
      <c r="C462" s="254"/>
      <c r="D462" s="240"/>
      <c r="E462" s="222">
        <v>2018</v>
      </c>
      <c r="F462" s="7">
        <f t="shared" si="84"/>
        <v>0</v>
      </c>
      <c r="G462" s="7"/>
      <c r="H462" s="7"/>
      <c r="I462" s="7">
        <v>0</v>
      </c>
      <c r="J462" s="14"/>
      <c r="K462" s="240"/>
      <c r="L462" s="99"/>
      <c r="N462" s="99"/>
      <c r="O462" s="99"/>
    </row>
    <row r="463" spans="1:32" ht="15" x14ac:dyDescent="0.25">
      <c r="A463" s="249"/>
      <c r="B463" s="251"/>
      <c r="C463" s="254"/>
      <c r="D463" s="240"/>
      <c r="E463" s="222">
        <v>2019</v>
      </c>
      <c r="F463" s="7">
        <f t="shared" si="84"/>
        <v>0</v>
      </c>
      <c r="G463" s="7"/>
      <c r="H463" s="7"/>
      <c r="I463" s="7">
        <v>0</v>
      </c>
      <c r="J463" s="14"/>
      <c r="K463" s="240"/>
      <c r="L463" s="99"/>
    </row>
    <row r="464" spans="1:32" ht="15" x14ac:dyDescent="0.25">
      <c r="A464" s="249"/>
      <c r="B464" s="251"/>
      <c r="C464" s="254"/>
      <c r="D464" s="240"/>
      <c r="E464" s="222">
        <v>2020</v>
      </c>
      <c r="F464" s="7">
        <f t="shared" si="84"/>
        <v>0</v>
      </c>
      <c r="G464" s="7"/>
      <c r="H464" s="7"/>
      <c r="I464" s="7">
        <v>0</v>
      </c>
      <c r="J464" s="14"/>
      <c r="K464" s="240"/>
    </row>
    <row r="465" spans="1:32" ht="59.25" customHeight="1" thickBot="1" x14ac:dyDescent="0.25">
      <c r="A465" s="249"/>
      <c r="B465" s="252"/>
      <c r="C465" s="254"/>
      <c r="D465" s="240"/>
      <c r="E465" s="26" t="s">
        <v>18</v>
      </c>
      <c r="F465" s="9">
        <f>SUM(F459:F464)</f>
        <v>569.70000000000005</v>
      </c>
      <c r="G465" s="9"/>
      <c r="H465" s="9">
        <f>SUM(H459:H464)</f>
        <v>0</v>
      </c>
      <c r="I465" s="9">
        <f>SUM(I459:I464)</f>
        <v>569.70000000000005</v>
      </c>
      <c r="J465" s="22"/>
      <c r="K465" s="240"/>
      <c r="L465" s="126"/>
      <c r="M465" s="127"/>
    </row>
    <row r="466" spans="1:32" ht="15.75" thickBot="1" x14ac:dyDescent="0.3">
      <c r="A466" s="257" t="s">
        <v>189</v>
      </c>
      <c r="B466" s="243"/>
      <c r="C466" s="243"/>
      <c r="D466" s="243"/>
      <c r="E466" s="93"/>
      <c r="F466" s="149">
        <f>SUM(F465)</f>
        <v>569.70000000000005</v>
      </c>
      <c r="G466" s="148"/>
      <c r="H466" s="149">
        <f>SUM(H465)</f>
        <v>0</v>
      </c>
      <c r="I466" s="149">
        <f>SUM(I465)</f>
        <v>569.70000000000005</v>
      </c>
      <c r="J466" s="102"/>
      <c r="K466" s="103"/>
    </row>
    <row r="467" spans="1:32" ht="16.5" thickBot="1" x14ac:dyDescent="0.25">
      <c r="A467" s="245" t="s">
        <v>182</v>
      </c>
      <c r="B467" s="246"/>
      <c r="C467" s="246"/>
      <c r="D467" s="246"/>
      <c r="E467" s="246"/>
      <c r="F467" s="246"/>
      <c r="G467" s="246"/>
      <c r="H467" s="246"/>
      <c r="I467" s="246"/>
      <c r="J467" s="246"/>
      <c r="K467" s="247"/>
      <c r="L467" s="55"/>
      <c r="M467" s="55"/>
      <c r="N467" s="55"/>
      <c r="O467" s="55"/>
      <c r="P467" s="55"/>
      <c r="Q467" s="55"/>
      <c r="R467" s="55"/>
      <c r="S467" s="55"/>
      <c r="T467" s="55"/>
      <c r="U467" s="55"/>
      <c r="V467" s="55"/>
      <c r="W467" s="55"/>
      <c r="X467" s="55"/>
      <c r="Y467" s="55"/>
      <c r="Z467" s="55"/>
      <c r="AA467" s="55"/>
      <c r="AB467" s="55"/>
      <c r="AC467" s="55"/>
      <c r="AD467" s="55"/>
      <c r="AE467" s="55"/>
      <c r="AF467" s="56"/>
    </row>
    <row r="468" spans="1:32" ht="15" x14ac:dyDescent="0.25">
      <c r="A468" s="504" t="s">
        <v>147</v>
      </c>
      <c r="B468" s="255" t="s">
        <v>225</v>
      </c>
      <c r="C468" s="253" t="s">
        <v>405</v>
      </c>
      <c r="D468" s="240" t="s">
        <v>207</v>
      </c>
      <c r="E468" s="208">
        <v>2015</v>
      </c>
      <c r="F468" s="143">
        <f t="shared" ref="F468:F473" si="85">SUM(G468:J468)</f>
        <v>1715</v>
      </c>
      <c r="G468" s="143"/>
      <c r="H468" s="143">
        <v>1715</v>
      </c>
      <c r="I468" s="12"/>
      <c r="J468" s="12"/>
      <c r="K468" s="240" t="s">
        <v>148</v>
      </c>
    </row>
    <row r="469" spans="1:32" ht="15" x14ac:dyDescent="0.25">
      <c r="A469" s="314"/>
      <c r="B469" s="235"/>
      <c r="C469" s="254"/>
      <c r="D469" s="240"/>
      <c r="E469" s="222">
        <v>2016</v>
      </c>
      <c r="F469" s="7">
        <f t="shared" si="85"/>
        <v>931.30000000000018</v>
      </c>
      <c r="G469" s="7"/>
      <c r="H469" s="7">
        <f>2151.3-1220</f>
        <v>931.30000000000018</v>
      </c>
      <c r="I469" s="14"/>
      <c r="J469" s="14"/>
      <c r="K469" s="258"/>
      <c r="L469" s="99"/>
    </row>
    <row r="470" spans="1:32" ht="15" x14ac:dyDescent="0.25">
      <c r="A470" s="314"/>
      <c r="B470" s="235"/>
      <c r="C470" s="254"/>
      <c r="D470" s="240"/>
      <c r="E470" s="222">
        <v>2017</v>
      </c>
      <c r="F470" s="7">
        <f t="shared" si="85"/>
        <v>1100</v>
      </c>
      <c r="G470" s="7"/>
      <c r="H470" s="7">
        <v>1100</v>
      </c>
      <c r="I470" s="14"/>
      <c r="J470" s="14"/>
      <c r="K470" s="258"/>
      <c r="L470" s="99"/>
      <c r="M470" s="106"/>
    </row>
    <row r="471" spans="1:32" ht="15" x14ac:dyDescent="0.25">
      <c r="A471" s="314"/>
      <c r="B471" s="235"/>
      <c r="C471" s="254"/>
      <c r="D471" s="240"/>
      <c r="E471" s="222">
        <v>2018</v>
      </c>
      <c r="F471" s="7">
        <f t="shared" si="85"/>
        <v>850</v>
      </c>
      <c r="G471" s="7"/>
      <c r="H471" s="7">
        <v>850</v>
      </c>
      <c r="I471" s="14"/>
      <c r="J471" s="14"/>
      <c r="K471" s="258"/>
      <c r="L471" s="99"/>
      <c r="M471" s="106"/>
    </row>
    <row r="472" spans="1:32" ht="15" x14ac:dyDescent="0.25">
      <c r="A472" s="314"/>
      <c r="B472" s="235"/>
      <c r="C472" s="254"/>
      <c r="D472" s="240"/>
      <c r="E472" s="222">
        <v>2019</v>
      </c>
      <c r="F472" s="7">
        <f t="shared" si="85"/>
        <v>392.4</v>
      </c>
      <c r="G472" s="7"/>
      <c r="H472" s="7">
        <f>1000-607.6</f>
        <v>392.4</v>
      </c>
      <c r="I472" s="14"/>
      <c r="J472" s="14"/>
      <c r="K472" s="258"/>
      <c r="L472" s="99"/>
      <c r="M472" s="106"/>
    </row>
    <row r="473" spans="1:32" ht="15" x14ac:dyDescent="0.25">
      <c r="A473" s="314"/>
      <c r="B473" s="235"/>
      <c r="C473" s="254"/>
      <c r="D473" s="240"/>
      <c r="E473" s="222">
        <v>2020</v>
      </c>
      <c r="F473" s="7">
        <f t="shared" si="85"/>
        <v>1036</v>
      </c>
      <c r="G473" s="7"/>
      <c r="H473" s="7">
        <f>1080.1-44.1</f>
        <v>1036</v>
      </c>
      <c r="I473" s="14"/>
      <c r="J473" s="14"/>
      <c r="K473" s="258"/>
    </row>
    <row r="474" spans="1:32" ht="15" x14ac:dyDescent="0.25">
      <c r="A474" s="314"/>
      <c r="B474" s="256"/>
      <c r="C474" s="254"/>
      <c r="D474" s="240"/>
      <c r="E474" s="222">
        <v>2021</v>
      </c>
      <c r="F474" s="7">
        <f t="shared" ref="F474:F478" si="86">SUM(G474:J474)</f>
        <v>1404</v>
      </c>
      <c r="G474" s="7"/>
      <c r="H474" s="7">
        <f>1150+254</f>
        <v>1404</v>
      </c>
      <c r="I474" s="14"/>
      <c r="J474" s="14"/>
      <c r="K474" s="258"/>
      <c r="L474" s="99"/>
    </row>
    <row r="475" spans="1:32" ht="15" x14ac:dyDescent="0.25">
      <c r="A475" s="314"/>
      <c r="B475" s="256"/>
      <c r="C475" s="254"/>
      <c r="D475" s="240"/>
      <c r="E475" s="222">
        <v>2022</v>
      </c>
      <c r="F475" s="7">
        <f t="shared" si="86"/>
        <v>1346.6</v>
      </c>
      <c r="G475" s="7"/>
      <c r="H475" s="7">
        <f>1300+46.6</f>
        <v>1346.6</v>
      </c>
      <c r="I475" s="14"/>
      <c r="J475" s="14"/>
      <c r="K475" s="258"/>
      <c r="L475" s="99"/>
      <c r="M475" s="106"/>
    </row>
    <row r="476" spans="1:32" ht="15" x14ac:dyDescent="0.25">
      <c r="A476" s="314"/>
      <c r="B476" s="256"/>
      <c r="C476" s="254"/>
      <c r="D476" s="240"/>
      <c r="E476" s="222">
        <v>2023</v>
      </c>
      <c r="F476" s="7">
        <f t="shared" si="86"/>
        <v>1360</v>
      </c>
      <c r="G476" s="7"/>
      <c r="H476" s="7">
        <v>1360</v>
      </c>
      <c r="I476" s="14"/>
      <c r="J476" s="14"/>
      <c r="K476" s="258"/>
      <c r="L476" s="99"/>
      <c r="M476" s="106"/>
    </row>
    <row r="477" spans="1:32" ht="15" x14ac:dyDescent="0.25">
      <c r="A477" s="314"/>
      <c r="B477" s="256"/>
      <c r="C477" s="254"/>
      <c r="D477" s="240"/>
      <c r="E477" s="222">
        <v>2024</v>
      </c>
      <c r="F477" s="7">
        <f t="shared" si="86"/>
        <v>1422</v>
      </c>
      <c r="G477" s="7"/>
      <c r="H477" s="7">
        <v>1422</v>
      </c>
      <c r="I477" s="14"/>
      <c r="J477" s="14"/>
      <c r="K477" s="258"/>
      <c r="L477" s="99"/>
      <c r="M477" s="106"/>
    </row>
    <row r="478" spans="1:32" ht="15" x14ac:dyDescent="0.25">
      <c r="A478" s="314"/>
      <c r="B478" s="256"/>
      <c r="C478" s="254"/>
      <c r="D478" s="240"/>
      <c r="E478" s="222">
        <v>2025</v>
      </c>
      <c r="F478" s="7">
        <f t="shared" si="86"/>
        <v>1488</v>
      </c>
      <c r="G478" s="7"/>
      <c r="H478" s="7">
        <v>1488</v>
      </c>
      <c r="I478" s="14"/>
      <c r="J478" s="14"/>
      <c r="K478" s="258"/>
    </row>
    <row r="479" spans="1:32" ht="63.75" customHeight="1" x14ac:dyDescent="0.2">
      <c r="A479" s="314"/>
      <c r="B479" s="256"/>
      <c r="C479" s="254"/>
      <c r="D479" s="240"/>
      <c r="E479" s="26" t="s">
        <v>18</v>
      </c>
      <c r="F479" s="9">
        <f>SUM(F468:F478)</f>
        <v>13045.3</v>
      </c>
      <c r="G479" s="9"/>
      <c r="H479" s="9">
        <f>SUM(H468:H478)</f>
        <v>13045.3</v>
      </c>
      <c r="I479" s="22"/>
      <c r="J479" s="22"/>
      <c r="K479" s="258"/>
      <c r="L479" s="126"/>
      <c r="M479" s="127"/>
    </row>
    <row r="480" spans="1:32" ht="18" customHeight="1" thickBot="1" x14ac:dyDescent="0.25">
      <c r="A480" s="541" t="s">
        <v>209</v>
      </c>
      <c r="B480" s="541"/>
      <c r="C480" s="541"/>
      <c r="D480" s="541"/>
      <c r="E480" s="213"/>
      <c r="F480" s="152">
        <f>F479</f>
        <v>13045.3</v>
      </c>
      <c r="G480" s="153"/>
      <c r="H480" s="152">
        <f>H479</f>
        <v>13045.3</v>
      </c>
      <c r="I480" s="213"/>
      <c r="J480" s="213"/>
      <c r="K480" s="213"/>
    </row>
    <row r="481" spans="1:35" ht="16.5" thickBot="1" x14ac:dyDescent="0.25">
      <c r="A481" s="245" t="s">
        <v>394</v>
      </c>
      <c r="B481" s="246"/>
      <c r="C481" s="246"/>
      <c r="D481" s="246"/>
      <c r="E481" s="246"/>
      <c r="F481" s="246"/>
      <c r="G481" s="246"/>
      <c r="H481" s="246"/>
      <c r="I481" s="246"/>
      <c r="J481" s="246"/>
      <c r="K481" s="247"/>
      <c r="L481" s="55"/>
      <c r="M481" s="55"/>
      <c r="N481" s="55"/>
      <c r="O481" s="55"/>
      <c r="P481" s="55"/>
      <c r="Q481" s="55"/>
      <c r="R481" s="55"/>
      <c r="S481" s="55"/>
      <c r="T481" s="55"/>
      <c r="U481" s="55"/>
      <c r="V481" s="55"/>
      <c r="W481" s="55"/>
      <c r="X481" s="55"/>
      <c r="Y481" s="55"/>
      <c r="Z481" s="55"/>
      <c r="AA481" s="55"/>
      <c r="AB481" s="55"/>
      <c r="AC481" s="55"/>
      <c r="AD481" s="55"/>
      <c r="AE481" s="55"/>
      <c r="AF481" s="56"/>
    </row>
    <row r="482" spans="1:35" ht="12.75" customHeight="1" x14ac:dyDescent="0.25">
      <c r="A482" s="328" t="s">
        <v>395</v>
      </c>
      <c r="B482" s="293" t="s">
        <v>292</v>
      </c>
      <c r="C482" s="237" t="s">
        <v>294</v>
      </c>
      <c r="D482" s="283" t="s">
        <v>207</v>
      </c>
      <c r="E482" s="222">
        <v>2017</v>
      </c>
      <c r="F482" s="7">
        <f t="shared" ref="F482:F485" si="87">SUM(G482:I482)</f>
        <v>12698.3</v>
      </c>
      <c r="G482" s="7"/>
      <c r="H482" s="7"/>
      <c r="I482" s="7">
        <f>12064+626.3+8</f>
        <v>12698.3</v>
      </c>
      <c r="J482" s="14"/>
      <c r="K482" s="323" t="s">
        <v>375</v>
      </c>
      <c r="L482" s="104" t="s">
        <v>340</v>
      </c>
      <c r="M482" s="104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F482" s="28"/>
    </row>
    <row r="483" spans="1:35" ht="12.75" customHeight="1" x14ac:dyDescent="0.25">
      <c r="A483" s="328"/>
      <c r="B483" s="329"/>
      <c r="C483" s="237"/>
      <c r="D483" s="283"/>
      <c r="E483" s="222">
        <v>2018</v>
      </c>
      <c r="F483" s="7">
        <f t="shared" si="87"/>
        <v>10661.1</v>
      </c>
      <c r="G483" s="7"/>
      <c r="H483" s="7"/>
      <c r="I483" s="7">
        <f>8500+2161.1</f>
        <v>10661.1</v>
      </c>
      <c r="J483" s="14"/>
      <c r="K483" s="330"/>
      <c r="L483" s="46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F483" s="28"/>
    </row>
    <row r="484" spans="1:35" ht="12.75" customHeight="1" x14ac:dyDescent="0.25">
      <c r="A484" s="328"/>
      <c r="B484" s="329"/>
      <c r="C484" s="237"/>
      <c r="D484" s="283"/>
      <c r="E484" s="222">
        <v>2019</v>
      </c>
      <c r="F484" s="7">
        <f t="shared" si="87"/>
        <v>8795.1</v>
      </c>
      <c r="G484" s="7"/>
      <c r="H484" s="7"/>
      <c r="I484" s="7">
        <f>5650+986.8+2158.3</f>
        <v>8795.1</v>
      </c>
      <c r="J484" s="14"/>
      <c r="K484" s="330"/>
      <c r="L484" s="104"/>
      <c r="M484" s="104"/>
      <c r="N484" s="28"/>
      <c r="O484" s="28"/>
      <c r="P484" s="104"/>
      <c r="Q484" s="28"/>
      <c r="R484" s="28"/>
      <c r="S484" s="28"/>
      <c r="T484" s="28"/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F484" s="28"/>
    </row>
    <row r="485" spans="1:35" ht="12.75" customHeight="1" x14ac:dyDescent="0.25">
      <c r="A485" s="328"/>
      <c r="B485" s="329"/>
      <c r="C485" s="237"/>
      <c r="D485" s="283"/>
      <c r="E485" s="222">
        <v>2020</v>
      </c>
      <c r="F485" s="7">
        <f t="shared" si="87"/>
        <v>7493.4</v>
      </c>
      <c r="G485" s="7"/>
      <c r="H485" s="7"/>
      <c r="I485" s="7">
        <v>7493.4</v>
      </c>
      <c r="J485" s="14"/>
      <c r="K485" s="330"/>
      <c r="L485" s="104"/>
      <c r="M485" s="104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F485" s="28"/>
    </row>
    <row r="486" spans="1:35" ht="12.75" customHeight="1" x14ac:dyDescent="0.25">
      <c r="A486" s="328"/>
      <c r="B486" s="329"/>
      <c r="C486" s="237"/>
      <c r="D486" s="283"/>
      <c r="E486" s="222">
        <v>2021</v>
      </c>
      <c r="F486" s="7">
        <f t="shared" ref="F486:F489" si="88">SUM(G486:I486)</f>
        <v>2493</v>
      </c>
      <c r="G486" s="7"/>
      <c r="H486" s="7"/>
      <c r="I486" s="7">
        <v>2493</v>
      </c>
      <c r="J486" s="14"/>
      <c r="K486" s="330"/>
      <c r="L486" s="104" t="s">
        <v>340</v>
      </c>
      <c r="M486" s="104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F486" s="28"/>
    </row>
    <row r="487" spans="1:35" ht="12.75" customHeight="1" x14ac:dyDescent="0.25">
      <c r="A487" s="328"/>
      <c r="B487" s="329"/>
      <c r="C487" s="237"/>
      <c r="D487" s="283"/>
      <c r="E487" s="222">
        <v>2022</v>
      </c>
      <c r="F487" s="7">
        <f t="shared" si="88"/>
        <v>0</v>
      </c>
      <c r="G487" s="7"/>
      <c r="H487" s="7"/>
      <c r="I487" s="7">
        <f>2280-2280</f>
        <v>0</v>
      </c>
      <c r="J487" s="14"/>
      <c r="K487" s="330"/>
      <c r="L487" s="46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F487" s="28"/>
    </row>
    <row r="488" spans="1:35" ht="12.75" customHeight="1" x14ac:dyDescent="0.25">
      <c r="A488" s="328"/>
      <c r="B488" s="329"/>
      <c r="C488" s="237"/>
      <c r="D488" s="283"/>
      <c r="E488" s="222">
        <v>2023</v>
      </c>
      <c r="F488" s="7">
        <f t="shared" si="88"/>
        <v>2371</v>
      </c>
      <c r="G488" s="7"/>
      <c r="H488" s="7"/>
      <c r="I488" s="7">
        <v>2371</v>
      </c>
      <c r="J488" s="14"/>
      <c r="K488" s="330"/>
      <c r="L488" s="104"/>
      <c r="M488" s="104"/>
      <c r="N488" s="28"/>
      <c r="O488" s="28"/>
      <c r="P488" s="104"/>
      <c r="Q488" s="28"/>
      <c r="R488" s="28"/>
      <c r="S488" s="28"/>
      <c r="T488" s="28"/>
      <c r="U488" s="2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  <c r="AF488" s="28"/>
    </row>
    <row r="489" spans="1:35" ht="12.75" customHeight="1" x14ac:dyDescent="0.25">
      <c r="A489" s="328"/>
      <c r="B489" s="329"/>
      <c r="C489" s="237"/>
      <c r="D489" s="283"/>
      <c r="E489" s="222">
        <v>2024</v>
      </c>
      <c r="F489" s="7">
        <f t="shared" si="88"/>
        <v>2466</v>
      </c>
      <c r="G489" s="7"/>
      <c r="H489" s="7"/>
      <c r="I489" s="7">
        <v>2466</v>
      </c>
      <c r="J489" s="14"/>
      <c r="K489" s="330"/>
      <c r="L489" s="104"/>
      <c r="M489" s="104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  <c r="Y489" s="28"/>
      <c r="Z489" s="28"/>
      <c r="AA489" s="28"/>
      <c r="AB489" s="28"/>
      <c r="AC489" s="28"/>
      <c r="AD489" s="28"/>
      <c r="AE489" s="28"/>
      <c r="AF489" s="28"/>
    </row>
    <row r="490" spans="1:35" ht="12.75" customHeight="1" x14ac:dyDescent="0.25">
      <c r="A490" s="328"/>
      <c r="B490" s="329"/>
      <c r="C490" s="237"/>
      <c r="D490" s="283"/>
      <c r="E490" s="222">
        <v>2025</v>
      </c>
      <c r="F490" s="7">
        <f t="shared" ref="F490" si="89">SUM(G490:I490)</f>
        <v>2564</v>
      </c>
      <c r="G490" s="7"/>
      <c r="H490" s="7"/>
      <c r="I490" s="7">
        <v>2564</v>
      </c>
      <c r="J490" s="14"/>
      <c r="K490" s="330"/>
      <c r="L490" s="104"/>
      <c r="M490" s="104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  <c r="Y490" s="28"/>
      <c r="Z490" s="28"/>
      <c r="AA490" s="28"/>
      <c r="AB490" s="28"/>
      <c r="AC490" s="28"/>
      <c r="AD490" s="28"/>
      <c r="AE490" s="28"/>
      <c r="AF490" s="28"/>
    </row>
    <row r="491" spans="1:35" ht="36" customHeight="1" x14ac:dyDescent="0.2">
      <c r="A491" s="328"/>
      <c r="B491" s="329"/>
      <c r="C491" s="237"/>
      <c r="D491" s="283"/>
      <c r="E491" s="26" t="s">
        <v>18</v>
      </c>
      <c r="F491" s="9">
        <f>SUM(F482:F490)</f>
        <v>49541.9</v>
      </c>
      <c r="G491" s="9"/>
      <c r="H491" s="9"/>
      <c r="I491" s="9">
        <f>SUM(I482:I490)</f>
        <v>49541.9</v>
      </c>
      <c r="J491" s="22"/>
      <c r="K491" s="331"/>
    </row>
    <row r="492" spans="1:35" ht="47.25" customHeight="1" thickBot="1" x14ac:dyDescent="0.3">
      <c r="A492" s="223" t="s">
        <v>210</v>
      </c>
      <c r="B492" s="223"/>
      <c r="C492" s="223"/>
      <c r="D492" s="224"/>
      <c r="E492" s="169" t="s">
        <v>403</v>
      </c>
      <c r="F492" s="169" t="s">
        <v>18</v>
      </c>
      <c r="G492" s="169" t="s">
        <v>10</v>
      </c>
      <c r="H492" s="170" t="s">
        <v>11</v>
      </c>
      <c r="I492" s="170" t="s">
        <v>12</v>
      </c>
      <c r="J492" s="170" t="s">
        <v>13</v>
      </c>
      <c r="K492" s="171"/>
    </row>
    <row r="493" spans="1:35" ht="15" thickBot="1" x14ac:dyDescent="0.25">
      <c r="A493" s="225"/>
      <c r="B493" s="225"/>
      <c r="C493" s="225"/>
      <c r="D493" s="226"/>
      <c r="E493" s="172"/>
      <c r="F493" s="173">
        <f>SUM(G493:J493)</f>
        <v>9490509.9000000004</v>
      </c>
      <c r="G493" s="173">
        <f>G479+G466+G457+G433+G360+G305</f>
        <v>0</v>
      </c>
      <c r="H493" s="173">
        <f>H479+H466+H457+H433+H360+H305</f>
        <v>8772352</v>
      </c>
      <c r="I493" s="173">
        <f>I479+I466+I457+I433+I360+I305+I491</f>
        <v>718157.9</v>
      </c>
      <c r="J493" s="174"/>
      <c r="K493" s="175"/>
    </row>
    <row r="494" spans="1:35" ht="41.25" customHeight="1" x14ac:dyDescent="0.2">
      <c r="A494" s="479" t="s">
        <v>217</v>
      </c>
      <c r="B494" s="480"/>
      <c r="C494" s="480"/>
      <c r="D494" s="480"/>
      <c r="E494" s="480"/>
      <c r="F494" s="480"/>
      <c r="G494" s="480"/>
      <c r="H494" s="480"/>
      <c r="I494" s="480"/>
      <c r="J494" s="480"/>
      <c r="K494" s="480"/>
      <c r="L494" s="38"/>
      <c r="M494" s="38"/>
      <c r="N494" s="38"/>
      <c r="O494" s="38"/>
      <c r="P494" s="38"/>
      <c r="Q494" s="38"/>
      <c r="R494" s="38"/>
      <c r="S494" s="38"/>
      <c r="T494" s="38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F494" s="38"/>
      <c r="AG494" s="38"/>
      <c r="AH494" s="38"/>
      <c r="AI494" s="39"/>
    </row>
    <row r="495" spans="1:35" ht="35.25" customHeight="1" x14ac:dyDescent="0.2">
      <c r="A495" s="503" t="s">
        <v>183</v>
      </c>
      <c r="B495" s="260"/>
      <c r="C495" s="260"/>
      <c r="D495" s="260"/>
      <c r="E495" s="260"/>
      <c r="F495" s="260"/>
      <c r="G495" s="260"/>
      <c r="H495" s="260"/>
      <c r="I495" s="260"/>
      <c r="J495" s="260"/>
      <c r="K495" s="260"/>
      <c r="L495" s="57"/>
      <c r="M495" s="57"/>
      <c r="N495" s="57"/>
      <c r="O495" s="57"/>
      <c r="P495" s="57"/>
      <c r="Q495" s="57"/>
      <c r="R495" s="57"/>
      <c r="S495" s="57"/>
      <c r="T495" s="57"/>
      <c r="U495" s="57"/>
      <c r="V495" s="57"/>
      <c r="W495" s="57"/>
      <c r="X495" s="57"/>
      <c r="Y495" s="57"/>
      <c r="Z495" s="57"/>
      <c r="AA495" s="57"/>
      <c r="AB495" s="57"/>
      <c r="AC495" s="57"/>
      <c r="AD495" s="57"/>
      <c r="AE495" s="57"/>
      <c r="AF495" s="57"/>
      <c r="AG495" s="57"/>
      <c r="AH495" s="57"/>
      <c r="AI495" s="58"/>
    </row>
    <row r="496" spans="1:35" x14ac:dyDescent="0.2">
      <c r="A496" s="313" t="s">
        <v>101</v>
      </c>
      <c r="B496" s="315" t="s">
        <v>69</v>
      </c>
      <c r="C496" s="296" t="s">
        <v>68</v>
      </c>
      <c r="D496" s="239" t="s">
        <v>207</v>
      </c>
      <c r="E496" s="222">
        <v>2015</v>
      </c>
      <c r="F496" s="222"/>
      <c r="G496" s="222"/>
      <c r="H496" s="222"/>
      <c r="I496" s="222"/>
      <c r="J496" s="222"/>
      <c r="K496" s="239" t="s">
        <v>149</v>
      </c>
    </row>
    <row r="497" spans="1:35" x14ac:dyDescent="0.2">
      <c r="A497" s="314"/>
      <c r="B497" s="316"/>
      <c r="C497" s="254"/>
      <c r="D497" s="240"/>
      <c r="E497" s="222">
        <v>2016</v>
      </c>
      <c r="F497" s="222"/>
      <c r="G497" s="222"/>
      <c r="H497" s="222"/>
      <c r="I497" s="222"/>
      <c r="J497" s="222"/>
      <c r="K497" s="240"/>
    </row>
    <row r="498" spans="1:35" x14ac:dyDescent="0.2">
      <c r="A498" s="314"/>
      <c r="B498" s="316"/>
      <c r="C498" s="254"/>
      <c r="D498" s="240"/>
      <c r="E498" s="222">
        <v>2017</v>
      </c>
      <c r="F498" s="222"/>
      <c r="G498" s="222"/>
      <c r="H498" s="222"/>
      <c r="I498" s="222"/>
      <c r="J498" s="222"/>
      <c r="K498" s="240"/>
    </row>
    <row r="499" spans="1:35" x14ac:dyDescent="0.2">
      <c r="A499" s="314"/>
      <c r="B499" s="316"/>
      <c r="C499" s="254"/>
      <c r="D499" s="240"/>
      <c r="E499" s="222">
        <v>2018</v>
      </c>
      <c r="F499" s="222"/>
      <c r="G499" s="222"/>
      <c r="H499" s="222"/>
      <c r="I499" s="222"/>
      <c r="J499" s="222"/>
      <c r="K499" s="240"/>
      <c r="L499" s="99"/>
    </row>
    <row r="500" spans="1:35" x14ac:dyDescent="0.2">
      <c r="A500" s="314"/>
      <c r="B500" s="316"/>
      <c r="C500" s="254"/>
      <c r="D500" s="240"/>
      <c r="E500" s="222">
        <v>2019</v>
      </c>
      <c r="F500" s="222"/>
      <c r="G500" s="222"/>
      <c r="H500" s="222"/>
      <c r="I500" s="222"/>
      <c r="J500" s="222"/>
      <c r="K500" s="240"/>
    </row>
    <row r="501" spans="1:35" x14ac:dyDescent="0.2">
      <c r="A501" s="314"/>
      <c r="B501" s="316"/>
      <c r="C501" s="254"/>
      <c r="D501" s="240"/>
      <c r="E501" s="222">
        <v>2020</v>
      </c>
      <c r="F501" s="222"/>
      <c r="G501" s="222"/>
      <c r="H501" s="222"/>
      <c r="I501" s="222"/>
      <c r="J501" s="222"/>
      <c r="K501" s="240"/>
      <c r="L501" s="127"/>
      <c r="M501" s="127"/>
    </row>
    <row r="502" spans="1:35" ht="13.5" thickBot="1" x14ac:dyDescent="0.25">
      <c r="A502" s="314"/>
      <c r="B502" s="316"/>
      <c r="C502" s="254"/>
      <c r="D502" s="240"/>
      <c r="E502" s="26" t="s">
        <v>18</v>
      </c>
      <c r="F502" s="26"/>
      <c r="G502" s="207"/>
      <c r="H502" s="207"/>
      <c r="I502" s="207"/>
      <c r="J502" s="207"/>
      <c r="K502" s="240"/>
    </row>
    <row r="503" spans="1:35" ht="30" customHeight="1" thickBot="1" x14ac:dyDescent="0.25">
      <c r="A503" s="259" t="s">
        <v>184</v>
      </c>
      <c r="B503" s="260"/>
      <c r="C503" s="260"/>
      <c r="D503" s="260"/>
      <c r="E503" s="260"/>
      <c r="F503" s="260"/>
      <c r="G503" s="260"/>
      <c r="H503" s="260"/>
      <c r="I503" s="260"/>
      <c r="J503" s="260"/>
      <c r="K503" s="260"/>
      <c r="L503" s="59"/>
      <c r="M503" s="59"/>
      <c r="N503" s="59"/>
      <c r="O503" s="59"/>
      <c r="P503" s="59"/>
      <c r="Q503" s="59"/>
      <c r="R503" s="59"/>
      <c r="S503" s="59"/>
      <c r="T503" s="59"/>
      <c r="U503" s="59"/>
      <c r="V503" s="59"/>
      <c r="W503" s="59"/>
      <c r="X503" s="59"/>
      <c r="Y503" s="59"/>
      <c r="Z503" s="59"/>
      <c r="AA503" s="59"/>
      <c r="AB503" s="59"/>
      <c r="AC503" s="59"/>
      <c r="AD503" s="59"/>
      <c r="AE503" s="59"/>
      <c r="AF503" s="59"/>
      <c r="AG503" s="59"/>
      <c r="AH503" s="59"/>
      <c r="AI503" s="60"/>
    </row>
    <row r="504" spans="1:35" ht="15" thickBot="1" x14ac:dyDescent="0.25">
      <c r="A504" s="261" t="s">
        <v>70</v>
      </c>
      <c r="B504" s="262"/>
      <c r="C504" s="262"/>
      <c r="D504" s="262"/>
      <c r="E504" s="262"/>
      <c r="F504" s="262"/>
      <c r="G504" s="262"/>
      <c r="H504" s="262"/>
      <c r="I504" s="262"/>
      <c r="J504" s="262"/>
      <c r="K504" s="263"/>
      <c r="L504" s="61"/>
      <c r="M504" s="61"/>
      <c r="N504" s="61"/>
      <c r="O504" s="61"/>
      <c r="P504" s="61"/>
      <c r="Q504" s="61"/>
      <c r="R504" s="61"/>
      <c r="S504" s="61"/>
      <c r="T504" s="61"/>
      <c r="U504" s="61"/>
      <c r="V504" s="61"/>
      <c r="W504" s="61"/>
      <c r="X504" s="61"/>
      <c r="Y504" s="61"/>
      <c r="Z504" s="61"/>
      <c r="AA504" s="61"/>
      <c r="AB504" s="61"/>
      <c r="AC504" s="61"/>
      <c r="AD504" s="61"/>
      <c r="AE504" s="61"/>
      <c r="AF504" s="61"/>
      <c r="AG504" s="61"/>
      <c r="AH504" s="61"/>
      <c r="AI504" s="62"/>
    </row>
    <row r="505" spans="1:35" ht="12.75" customHeight="1" x14ac:dyDescent="0.25">
      <c r="A505" s="311" t="s">
        <v>64</v>
      </c>
      <c r="B505" s="295" t="s">
        <v>151</v>
      </c>
      <c r="C505" s="296" t="s">
        <v>405</v>
      </c>
      <c r="D505" s="239" t="s">
        <v>207</v>
      </c>
      <c r="E505" s="222">
        <v>2015</v>
      </c>
      <c r="F505" s="7">
        <f t="shared" ref="F505:F510" si="90">SUM(G505:J505)</f>
        <v>44637.9</v>
      </c>
      <c r="G505" s="7"/>
      <c r="H505" s="7"/>
      <c r="I505" s="7">
        <f>49100-1324.1-939.1-30-1573.9-583-12</f>
        <v>44637.9</v>
      </c>
      <c r="J505" s="14"/>
      <c r="K505" s="239" t="s">
        <v>150</v>
      </c>
    </row>
    <row r="506" spans="1:35" ht="15" x14ac:dyDescent="0.25">
      <c r="A506" s="277"/>
      <c r="B506" s="294"/>
      <c r="C506" s="254"/>
      <c r="D506" s="240"/>
      <c r="E506" s="222">
        <v>2016</v>
      </c>
      <c r="F506" s="7">
        <f t="shared" si="90"/>
        <v>44921</v>
      </c>
      <c r="G506" s="7"/>
      <c r="H506" s="7"/>
      <c r="I506" s="7">
        <f>47428-1000-707-500-300</f>
        <v>44921</v>
      </c>
      <c r="J506" s="14"/>
      <c r="K506" s="240"/>
    </row>
    <row r="507" spans="1:35" ht="15" x14ac:dyDescent="0.25">
      <c r="A507" s="277"/>
      <c r="B507" s="294"/>
      <c r="C507" s="254"/>
      <c r="D507" s="240"/>
      <c r="E507" s="222">
        <v>2017</v>
      </c>
      <c r="F507" s="7">
        <f t="shared" si="90"/>
        <v>48074.7</v>
      </c>
      <c r="G507" s="7"/>
      <c r="H507" s="7"/>
      <c r="I507" s="7">
        <f>42110.2+3343.8+2620.7</f>
        <v>48074.7</v>
      </c>
      <c r="J507" s="14"/>
      <c r="K507" s="240"/>
      <c r="L507" s="128" t="s">
        <v>346</v>
      </c>
      <c r="M507" s="4">
        <v>3343.8</v>
      </c>
    </row>
    <row r="508" spans="1:35" ht="15" x14ac:dyDescent="0.25">
      <c r="A508" s="277"/>
      <c r="B508" s="294"/>
      <c r="C508" s="254"/>
      <c r="D508" s="240"/>
      <c r="E508" s="222">
        <v>2018</v>
      </c>
      <c r="F508" s="7">
        <f t="shared" si="90"/>
        <v>63892.7</v>
      </c>
      <c r="G508" s="7"/>
      <c r="H508" s="7"/>
      <c r="I508" s="7">
        <f>46681.7+17211</f>
        <v>63892.7</v>
      </c>
      <c r="J508" s="14"/>
      <c r="K508" s="240"/>
      <c r="L508" s="99"/>
      <c r="M508" s="106"/>
    </row>
    <row r="509" spans="1:35" ht="15" x14ac:dyDescent="0.25">
      <c r="A509" s="277"/>
      <c r="B509" s="294"/>
      <c r="C509" s="254"/>
      <c r="D509" s="240"/>
      <c r="E509" s="222">
        <v>2019</v>
      </c>
      <c r="F509" s="7">
        <f t="shared" ref="F509" si="91">SUM(G509:J509)</f>
        <v>81895.299999999988</v>
      </c>
      <c r="G509" s="7"/>
      <c r="H509" s="7"/>
      <c r="I509" s="7">
        <f>63452+14451.4+3991.9</f>
        <v>81895.299999999988</v>
      </c>
      <c r="J509" s="14"/>
      <c r="K509" s="240"/>
      <c r="L509" s="99"/>
      <c r="M509" s="106"/>
    </row>
    <row r="510" spans="1:35" ht="15" x14ac:dyDescent="0.25">
      <c r="A510" s="277"/>
      <c r="B510" s="294"/>
      <c r="C510" s="254"/>
      <c r="D510" s="240"/>
      <c r="E510" s="222">
        <v>2020</v>
      </c>
      <c r="F510" s="7">
        <f t="shared" si="90"/>
        <v>75493</v>
      </c>
      <c r="G510" s="7"/>
      <c r="H510" s="7"/>
      <c r="I510" s="7">
        <f>63452-18083.8+30124.8</f>
        <v>75493</v>
      </c>
      <c r="J510" s="14"/>
      <c r="K510" s="240"/>
    </row>
    <row r="511" spans="1:35" ht="15" x14ac:dyDescent="0.25">
      <c r="A511" s="277"/>
      <c r="B511" s="309"/>
      <c r="C511" s="254"/>
      <c r="D511" s="240"/>
      <c r="E511" s="222">
        <v>2021</v>
      </c>
      <c r="F511" s="7">
        <f t="shared" ref="F511:F513" si="92">SUM(G511:J511)</f>
        <v>83493</v>
      </c>
      <c r="G511" s="7"/>
      <c r="H511" s="7"/>
      <c r="I511" s="7">
        <f>63452-18083.8+38124.8</f>
        <v>83493</v>
      </c>
      <c r="J511" s="14"/>
      <c r="K511" s="240"/>
    </row>
    <row r="512" spans="1:35" ht="15" x14ac:dyDescent="0.25">
      <c r="A512" s="277"/>
      <c r="B512" s="309"/>
      <c r="C512" s="254"/>
      <c r="D512" s="240"/>
      <c r="E512" s="222">
        <v>2022</v>
      </c>
      <c r="F512" s="7">
        <f t="shared" si="92"/>
        <v>72890</v>
      </c>
      <c r="G512" s="7"/>
      <c r="H512" s="7"/>
      <c r="I512" s="7">
        <f>65990.1+6899.9</f>
        <v>72890</v>
      </c>
      <c r="J512" s="14"/>
      <c r="K512" s="240"/>
      <c r="L512" s="128" t="s">
        <v>346</v>
      </c>
      <c r="M512" s="4">
        <v>3343.8</v>
      </c>
    </row>
    <row r="513" spans="1:35" ht="15" x14ac:dyDescent="0.25">
      <c r="A513" s="277"/>
      <c r="B513" s="309"/>
      <c r="C513" s="254"/>
      <c r="D513" s="240"/>
      <c r="E513" s="222">
        <v>2023</v>
      </c>
      <c r="F513" s="7">
        <f t="shared" si="92"/>
        <v>68629.7</v>
      </c>
      <c r="G513" s="7"/>
      <c r="H513" s="7"/>
      <c r="I513" s="7">
        <v>68629.7</v>
      </c>
      <c r="J513" s="14"/>
      <c r="K513" s="240"/>
      <c r="L513" s="99"/>
      <c r="M513" s="106"/>
    </row>
    <row r="514" spans="1:35" ht="15" x14ac:dyDescent="0.25">
      <c r="A514" s="277"/>
      <c r="B514" s="309"/>
      <c r="C514" s="254"/>
      <c r="D514" s="240"/>
      <c r="E514" s="222">
        <v>2024</v>
      </c>
      <c r="F514" s="7">
        <f t="shared" ref="F514" si="93">SUM(G514:J514)</f>
        <v>71374.899999999994</v>
      </c>
      <c r="G514" s="7"/>
      <c r="H514" s="7"/>
      <c r="I514" s="7">
        <v>71374.899999999994</v>
      </c>
      <c r="J514" s="14"/>
      <c r="K514" s="240"/>
      <c r="L514" s="99"/>
      <c r="M514" s="106"/>
    </row>
    <row r="515" spans="1:35" ht="15" x14ac:dyDescent="0.25">
      <c r="A515" s="277"/>
      <c r="B515" s="309"/>
      <c r="C515" s="254"/>
      <c r="D515" s="240"/>
      <c r="E515" s="222">
        <v>2025</v>
      </c>
      <c r="F515" s="7">
        <f t="shared" ref="F515" si="94">SUM(G515:J515)</f>
        <v>74230</v>
      </c>
      <c r="G515" s="7"/>
      <c r="H515" s="7"/>
      <c r="I515" s="7">
        <v>74230</v>
      </c>
      <c r="J515" s="14"/>
      <c r="K515" s="240"/>
    </row>
    <row r="516" spans="1:35" ht="15.75" customHeight="1" thickBot="1" x14ac:dyDescent="0.25">
      <c r="A516" s="277"/>
      <c r="B516" s="309"/>
      <c r="C516" s="312"/>
      <c r="D516" s="240"/>
      <c r="E516" s="18" t="s">
        <v>18</v>
      </c>
      <c r="F516" s="8">
        <f>SUM(F505:F515)</f>
        <v>729532.2</v>
      </c>
      <c r="G516" s="8"/>
      <c r="H516" s="8">
        <f>SUM(H508:H510)</f>
        <v>0</v>
      </c>
      <c r="I516" s="8">
        <f>SUM(I505:I515)</f>
        <v>729532.2</v>
      </c>
      <c r="J516" s="14"/>
      <c r="K516" s="241"/>
    </row>
    <row r="517" spans="1:35" ht="15" thickBot="1" x14ac:dyDescent="0.25">
      <c r="A517" s="293" t="s">
        <v>71</v>
      </c>
      <c r="B517" s="294"/>
      <c r="C517" s="294"/>
      <c r="D517" s="294"/>
      <c r="E517" s="294"/>
      <c r="F517" s="294"/>
      <c r="G517" s="294"/>
      <c r="H517" s="294"/>
      <c r="I517" s="294"/>
      <c r="J517" s="294"/>
      <c r="K517" s="294"/>
      <c r="L517" s="25"/>
      <c r="M517" s="63"/>
      <c r="N517" s="63"/>
      <c r="O517" s="63"/>
      <c r="P517" s="63"/>
      <c r="Q517" s="63"/>
      <c r="R517" s="63"/>
      <c r="S517" s="63"/>
      <c r="T517" s="63"/>
      <c r="U517" s="63"/>
      <c r="V517" s="63"/>
      <c r="W517" s="63"/>
      <c r="X517" s="63"/>
      <c r="Y517" s="63"/>
      <c r="Z517" s="63"/>
      <c r="AA517" s="63"/>
      <c r="AB517" s="63"/>
      <c r="AC517" s="63"/>
      <c r="AD517" s="63"/>
      <c r="AE517" s="63"/>
      <c r="AF517" s="63"/>
      <c r="AG517" s="63"/>
      <c r="AH517" s="63"/>
      <c r="AI517" s="64"/>
    </row>
    <row r="518" spans="1:35" x14ac:dyDescent="0.2">
      <c r="A518" s="266" t="s">
        <v>275</v>
      </c>
      <c r="B518" s="295" t="s">
        <v>152</v>
      </c>
      <c r="C518" s="296" t="s">
        <v>68</v>
      </c>
      <c r="D518" s="239" t="s">
        <v>207</v>
      </c>
      <c r="E518" s="222">
        <v>2015</v>
      </c>
      <c r="F518" s="14"/>
      <c r="G518" s="14"/>
      <c r="H518" s="14"/>
      <c r="I518" s="14"/>
      <c r="J518" s="14"/>
      <c r="K518" s="239" t="s">
        <v>153</v>
      </c>
      <c r="L518" s="28"/>
    </row>
    <row r="519" spans="1:35" x14ac:dyDescent="0.2">
      <c r="A519" s="267"/>
      <c r="B519" s="294"/>
      <c r="C519" s="254"/>
      <c r="D519" s="240"/>
      <c r="E519" s="222">
        <v>2016</v>
      </c>
      <c r="F519" s="14"/>
      <c r="G519" s="14"/>
      <c r="H519" s="14"/>
      <c r="I519" s="14"/>
      <c r="J519" s="14"/>
      <c r="K519" s="240"/>
    </row>
    <row r="520" spans="1:35" x14ac:dyDescent="0.2">
      <c r="A520" s="267"/>
      <c r="B520" s="294"/>
      <c r="C520" s="254"/>
      <c r="D520" s="240"/>
      <c r="E520" s="222">
        <v>2017</v>
      </c>
      <c r="F520" s="14"/>
      <c r="G520" s="14"/>
      <c r="H520" s="14"/>
      <c r="I520" s="14"/>
      <c r="J520" s="14"/>
      <c r="K520" s="240"/>
      <c r="L520" s="99"/>
    </row>
    <row r="521" spans="1:35" ht="15" x14ac:dyDescent="0.25">
      <c r="A521" s="267"/>
      <c r="B521" s="294"/>
      <c r="C521" s="254"/>
      <c r="D521" s="240"/>
      <c r="E521" s="222">
        <v>2018</v>
      </c>
      <c r="F521" s="7">
        <f>SUM(G521:J521)</f>
        <v>0</v>
      </c>
      <c r="G521" s="7"/>
      <c r="H521" s="7"/>
      <c r="I521" s="7"/>
      <c r="J521" s="7">
        <v>0</v>
      </c>
      <c r="K521" s="240"/>
      <c r="L521" s="99"/>
    </row>
    <row r="522" spans="1:35" ht="15" x14ac:dyDescent="0.25">
      <c r="A522" s="267"/>
      <c r="B522" s="294"/>
      <c r="C522" s="254"/>
      <c r="D522" s="240"/>
      <c r="E522" s="222">
        <v>2019</v>
      </c>
      <c r="F522" s="7">
        <f>SUM(G522:J522)</f>
        <v>0</v>
      </c>
      <c r="G522" s="7"/>
      <c r="H522" s="7"/>
      <c r="I522" s="7"/>
      <c r="J522" s="7">
        <v>0</v>
      </c>
      <c r="K522" s="240"/>
    </row>
    <row r="523" spans="1:35" ht="15" x14ac:dyDescent="0.25">
      <c r="A523" s="267"/>
      <c r="B523" s="294"/>
      <c r="C523" s="254"/>
      <c r="D523" s="240"/>
      <c r="E523" s="222">
        <v>2020</v>
      </c>
      <c r="F523" s="7">
        <f>SUM(G523:J523)</f>
        <v>0</v>
      </c>
      <c r="G523" s="7"/>
      <c r="H523" s="7"/>
      <c r="I523" s="7"/>
      <c r="J523" s="7">
        <v>0</v>
      </c>
      <c r="K523" s="240"/>
    </row>
    <row r="524" spans="1:35" ht="25.5" customHeight="1" x14ac:dyDescent="0.25">
      <c r="A524" s="267"/>
      <c r="B524" s="294"/>
      <c r="C524" s="254"/>
      <c r="D524" s="240"/>
      <c r="E524" s="18" t="s">
        <v>18</v>
      </c>
      <c r="F524" s="8">
        <f>SUM(F518:F523)</f>
        <v>0</v>
      </c>
      <c r="G524" s="7"/>
      <c r="H524" s="7"/>
      <c r="I524" s="7"/>
      <c r="J524" s="8">
        <f>SUM(J518:J523)</f>
        <v>0</v>
      </c>
      <c r="K524" s="241"/>
    </row>
    <row r="525" spans="1:35" x14ac:dyDescent="0.2">
      <c r="A525" s="306" t="s">
        <v>72</v>
      </c>
      <c r="B525" s="250" t="s">
        <v>154</v>
      </c>
      <c r="C525" s="237" t="s">
        <v>68</v>
      </c>
      <c r="D525" s="239" t="s">
        <v>207</v>
      </c>
      <c r="E525" s="208">
        <v>2015</v>
      </c>
      <c r="F525" s="12"/>
      <c r="G525" s="12"/>
      <c r="H525" s="12"/>
      <c r="I525" s="12"/>
      <c r="J525" s="12"/>
      <c r="K525" s="239" t="s">
        <v>153</v>
      </c>
    </row>
    <row r="526" spans="1:35" x14ac:dyDescent="0.2">
      <c r="A526" s="307"/>
      <c r="B526" s="294"/>
      <c r="C526" s="238"/>
      <c r="D526" s="240"/>
      <c r="E526" s="222">
        <v>2016</v>
      </c>
      <c r="F526" s="14"/>
      <c r="G526" s="14"/>
      <c r="H526" s="14"/>
      <c r="I526" s="14"/>
      <c r="J526" s="14"/>
      <c r="K526" s="240"/>
    </row>
    <row r="527" spans="1:35" x14ac:dyDescent="0.2">
      <c r="A527" s="307"/>
      <c r="B527" s="294"/>
      <c r="C527" s="238"/>
      <c r="D527" s="240"/>
      <c r="E527" s="222">
        <v>2017</v>
      </c>
      <c r="F527" s="14"/>
      <c r="G527" s="14"/>
      <c r="H527" s="14"/>
      <c r="I527" s="14"/>
      <c r="J527" s="14"/>
      <c r="K527" s="240"/>
    </row>
    <row r="528" spans="1:35" ht="15" x14ac:dyDescent="0.25">
      <c r="A528" s="307"/>
      <c r="B528" s="294"/>
      <c r="C528" s="238"/>
      <c r="D528" s="240"/>
      <c r="E528" s="222">
        <v>2018</v>
      </c>
      <c r="F528" s="7">
        <f>SUM(G528:J528)</f>
        <v>0</v>
      </c>
      <c r="G528" s="7"/>
      <c r="H528" s="7"/>
      <c r="I528" s="7"/>
      <c r="J528" s="7">
        <v>0</v>
      </c>
      <c r="K528" s="240"/>
      <c r="L528" s="99"/>
    </row>
    <row r="529" spans="1:14" ht="15" x14ac:dyDescent="0.25">
      <c r="A529" s="307"/>
      <c r="B529" s="294"/>
      <c r="C529" s="238"/>
      <c r="D529" s="240"/>
      <c r="E529" s="222">
        <v>2019</v>
      </c>
      <c r="F529" s="7">
        <f>SUM(G529:J529)</f>
        <v>0</v>
      </c>
      <c r="G529" s="7"/>
      <c r="H529" s="7"/>
      <c r="I529" s="7"/>
      <c r="J529" s="7">
        <v>0</v>
      </c>
      <c r="K529" s="240"/>
    </row>
    <row r="530" spans="1:14" ht="15" x14ac:dyDescent="0.25">
      <c r="A530" s="307"/>
      <c r="B530" s="294"/>
      <c r="C530" s="238"/>
      <c r="D530" s="240"/>
      <c r="E530" s="222">
        <v>2020</v>
      </c>
      <c r="F530" s="7">
        <f>SUM(G530:J530)</f>
        <v>0</v>
      </c>
      <c r="G530" s="7"/>
      <c r="H530" s="7"/>
      <c r="I530" s="7"/>
      <c r="J530" s="7">
        <v>0</v>
      </c>
      <c r="K530" s="240"/>
    </row>
    <row r="531" spans="1:14" ht="15" x14ac:dyDescent="0.25">
      <c r="A531" s="308"/>
      <c r="B531" s="309"/>
      <c r="C531" s="238"/>
      <c r="D531" s="240"/>
      <c r="E531" s="26" t="s">
        <v>18</v>
      </c>
      <c r="F531" s="9">
        <f>SUM(F528:F530)</f>
        <v>0</v>
      </c>
      <c r="G531" s="10"/>
      <c r="H531" s="10"/>
      <c r="I531" s="10"/>
      <c r="J531" s="9">
        <f>SUM(J525:J530)</f>
        <v>0</v>
      </c>
      <c r="K531" s="240"/>
    </row>
    <row r="532" spans="1:14" ht="15" x14ac:dyDescent="0.25">
      <c r="A532" s="302" t="s">
        <v>120</v>
      </c>
      <c r="B532" s="304" t="s">
        <v>214</v>
      </c>
      <c r="C532" s="237" t="s">
        <v>405</v>
      </c>
      <c r="D532" s="283" t="s">
        <v>207</v>
      </c>
      <c r="E532" s="222">
        <v>2015</v>
      </c>
      <c r="F532" s="7">
        <f t="shared" ref="F532:F537" si="95">SUM(G532:I532)</f>
        <v>1364.4</v>
      </c>
      <c r="G532" s="7"/>
      <c r="H532" s="7"/>
      <c r="I532" s="7">
        <f>1322.4+30+12</f>
        <v>1364.4</v>
      </c>
      <c r="J532" s="14"/>
      <c r="K532" s="283" t="s">
        <v>133</v>
      </c>
    </row>
    <row r="533" spans="1:14" ht="15" x14ac:dyDescent="0.25">
      <c r="A533" s="303"/>
      <c r="B533" s="305"/>
      <c r="C533" s="238"/>
      <c r="D533" s="283"/>
      <c r="E533" s="222">
        <v>2016</v>
      </c>
      <c r="F533" s="7">
        <f t="shared" si="95"/>
        <v>1322.4</v>
      </c>
      <c r="G533" s="7"/>
      <c r="H533" s="7"/>
      <c r="I533" s="7">
        <v>1322.4</v>
      </c>
      <c r="J533" s="14"/>
      <c r="K533" s="283"/>
    </row>
    <row r="534" spans="1:14" ht="15" x14ac:dyDescent="0.25">
      <c r="A534" s="303"/>
      <c r="B534" s="305"/>
      <c r="C534" s="238"/>
      <c r="D534" s="283"/>
      <c r="E534" s="222">
        <v>2017</v>
      </c>
      <c r="F534" s="7">
        <f t="shared" si="95"/>
        <v>4988.3</v>
      </c>
      <c r="G534" s="7"/>
      <c r="H534" s="7"/>
      <c r="I534" s="7">
        <f>1338.3+3116.8+533.2</f>
        <v>4988.3</v>
      </c>
      <c r="J534" s="14"/>
      <c r="K534" s="283"/>
      <c r="L534" s="99" t="s">
        <v>348</v>
      </c>
      <c r="M534" s="105"/>
      <c r="N534" s="106" t="s">
        <v>347</v>
      </c>
    </row>
    <row r="535" spans="1:14" ht="15" x14ac:dyDescent="0.25">
      <c r="A535" s="303"/>
      <c r="B535" s="305"/>
      <c r="C535" s="238"/>
      <c r="D535" s="283"/>
      <c r="E535" s="222">
        <v>2018</v>
      </c>
      <c r="F535" s="7">
        <f t="shared" si="95"/>
        <v>4768</v>
      </c>
      <c r="G535" s="7"/>
      <c r="H535" s="7"/>
      <c r="I535" s="7">
        <f>4385.6+382.4</f>
        <v>4768</v>
      </c>
      <c r="J535" s="14"/>
      <c r="K535" s="283"/>
      <c r="L535" s="99"/>
      <c r="M535" s="105"/>
      <c r="N535" s="106"/>
    </row>
    <row r="536" spans="1:14" ht="15" x14ac:dyDescent="0.25">
      <c r="A536" s="303"/>
      <c r="B536" s="305"/>
      <c r="C536" s="238"/>
      <c r="D536" s="283"/>
      <c r="E536" s="222">
        <v>2019</v>
      </c>
      <c r="F536" s="7">
        <f t="shared" ref="F536" si="96">SUM(G536:I536)</f>
        <v>7700.2000000000007</v>
      </c>
      <c r="G536" s="7"/>
      <c r="H536" s="7"/>
      <c r="I536" s="7">
        <f>5949.3+1081.8-341.9+1011</f>
        <v>7700.2000000000007</v>
      </c>
      <c r="J536" s="14"/>
      <c r="K536" s="283"/>
      <c r="L536" s="99"/>
      <c r="M536" s="105"/>
      <c r="N536" s="106"/>
    </row>
    <row r="537" spans="1:14" ht="15" x14ac:dyDescent="0.25">
      <c r="A537" s="303"/>
      <c r="B537" s="305"/>
      <c r="C537" s="238"/>
      <c r="D537" s="283"/>
      <c r="E537" s="222">
        <v>2020</v>
      </c>
      <c r="F537" s="7">
        <f t="shared" si="95"/>
        <v>7123.8</v>
      </c>
      <c r="G537" s="7"/>
      <c r="H537" s="7"/>
      <c r="I537" s="7">
        <f>1228.9-1098.2+6993.1</f>
        <v>7123.8</v>
      </c>
      <c r="J537" s="14"/>
      <c r="K537" s="283"/>
    </row>
    <row r="538" spans="1:14" ht="15" x14ac:dyDescent="0.25">
      <c r="A538" s="303"/>
      <c r="B538" s="305"/>
      <c r="C538" s="238"/>
      <c r="D538" s="283"/>
      <c r="E538" s="222">
        <v>2021</v>
      </c>
      <c r="F538" s="7">
        <f t="shared" ref="F538:F540" si="97">SUM(G538:I538)</f>
        <v>776.19999999999993</v>
      </c>
      <c r="G538" s="7"/>
      <c r="H538" s="7"/>
      <c r="I538" s="7">
        <f>115.8-105.9+766.3</f>
        <v>776.19999999999993</v>
      </c>
      <c r="J538" s="14"/>
      <c r="K538" s="283"/>
    </row>
    <row r="539" spans="1:14" ht="15" x14ac:dyDescent="0.25">
      <c r="A539" s="303"/>
      <c r="B539" s="305"/>
      <c r="C539" s="238"/>
      <c r="D539" s="283"/>
      <c r="E539" s="222">
        <v>2022</v>
      </c>
      <c r="F539" s="7">
        <f t="shared" si="97"/>
        <v>0</v>
      </c>
      <c r="G539" s="7"/>
      <c r="H539" s="7"/>
      <c r="I539" s="7">
        <f>120.4-120.4</f>
        <v>0</v>
      </c>
      <c r="J539" s="14"/>
      <c r="K539" s="283"/>
      <c r="L539" s="99" t="s">
        <v>348</v>
      </c>
      <c r="M539" s="105"/>
      <c r="N539" s="106" t="s">
        <v>347</v>
      </c>
    </row>
    <row r="540" spans="1:14" ht="15" x14ac:dyDescent="0.25">
      <c r="A540" s="303"/>
      <c r="B540" s="305"/>
      <c r="C540" s="238"/>
      <c r="D540" s="283"/>
      <c r="E540" s="222">
        <v>2023</v>
      </c>
      <c r="F540" s="7">
        <f t="shared" si="97"/>
        <v>125.2</v>
      </c>
      <c r="G540" s="7"/>
      <c r="H540" s="7"/>
      <c r="I540" s="7">
        <v>125.2</v>
      </c>
      <c r="J540" s="14"/>
      <c r="K540" s="283"/>
      <c r="L540" s="99"/>
      <c r="M540" s="105"/>
      <c r="N540" s="106"/>
    </row>
    <row r="541" spans="1:14" ht="15" x14ac:dyDescent="0.25">
      <c r="A541" s="303"/>
      <c r="B541" s="305"/>
      <c r="C541" s="238"/>
      <c r="D541" s="283"/>
      <c r="E541" s="222">
        <v>2024</v>
      </c>
      <c r="F541" s="7">
        <f t="shared" ref="F541" si="98">SUM(G541:I541)</f>
        <v>130.19999999999999</v>
      </c>
      <c r="G541" s="7"/>
      <c r="H541" s="7"/>
      <c r="I541" s="7">
        <v>130.19999999999999</v>
      </c>
      <c r="J541" s="14"/>
      <c r="K541" s="283"/>
      <c r="L541" s="99"/>
      <c r="M541" s="105"/>
      <c r="N541" s="106"/>
    </row>
    <row r="542" spans="1:14" ht="15" x14ac:dyDescent="0.25">
      <c r="A542" s="303"/>
      <c r="B542" s="305"/>
      <c r="C542" s="238"/>
      <c r="D542" s="283"/>
      <c r="E542" s="222">
        <v>2025</v>
      </c>
      <c r="F542" s="7">
        <f t="shared" ref="F542" si="99">SUM(G542:I542)</f>
        <v>135.4</v>
      </c>
      <c r="G542" s="7"/>
      <c r="H542" s="7"/>
      <c r="I542" s="7">
        <v>135.4</v>
      </c>
      <c r="J542" s="14"/>
      <c r="K542" s="283"/>
    </row>
    <row r="543" spans="1:14" ht="29.25" customHeight="1" x14ac:dyDescent="0.25">
      <c r="A543" s="303"/>
      <c r="B543" s="305"/>
      <c r="C543" s="238"/>
      <c r="D543" s="283"/>
      <c r="E543" s="18" t="s">
        <v>18</v>
      </c>
      <c r="F543" s="8">
        <f>SUM(F532:F542)</f>
        <v>28434.100000000006</v>
      </c>
      <c r="G543" s="7"/>
      <c r="H543" s="7"/>
      <c r="I543" s="8">
        <f>SUM(I532:I542)</f>
        <v>28434.100000000006</v>
      </c>
      <c r="J543" s="14"/>
      <c r="K543" s="283"/>
    </row>
    <row r="544" spans="1:14" ht="15" x14ac:dyDescent="0.25">
      <c r="A544" s="310" t="s">
        <v>121</v>
      </c>
      <c r="B544" s="304" t="s">
        <v>211</v>
      </c>
      <c r="C544" s="296" t="s">
        <v>68</v>
      </c>
      <c r="D544" s="239" t="s">
        <v>207</v>
      </c>
      <c r="E544" s="222">
        <v>2015</v>
      </c>
      <c r="F544" s="7">
        <f>H544+I544</f>
        <v>260.60000000000002</v>
      </c>
      <c r="G544" s="7"/>
      <c r="H544" s="7">
        <v>230</v>
      </c>
      <c r="I544" s="7">
        <v>30.6</v>
      </c>
      <c r="J544" s="14"/>
      <c r="K544" s="239" t="s">
        <v>155</v>
      </c>
    </row>
    <row r="545" spans="1:35" ht="15" x14ac:dyDescent="0.25">
      <c r="A545" s="307"/>
      <c r="B545" s="305"/>
      <c r="C545" s="254"/>
      <c r="D545" s="240"/>
      <c r="E545" s="222">
        <v>2016</v>
      </c>
      <c r="F545" s="143"/>
      <c r="G545" s="7"/>
      <c r="H545" s="7"/>
      <c r="I545" s="7"/>
      <c r="J545" s="14"/>
      <c r="K545" s="240"/>
    </row>
    <row r="546" spans="1:35" ht="15" x14ac:dyDescent="0.25">
      <c r="A546" s="307"/>
      <c r="B546" s="305"/>
      <c r="C546" s="254"/>
      <c r="D546" s="240"/>
      <c r="E546" s="222">
        <v>2017</v>
      </c>
      <c r="F546" s="143"/>
      <c r="G546" s="7"/>
      <c r="H546" s="7"/>
      <c r="I546" s="7"/>
      <c r="J546" s="14"/>
      <c r="K546" s="240"/>
    </row>
    <row r="547" spans="1:35" ht="15" x14ac:dyDescent="0.25">
      <c r="A547" s="307"/>
      <c r="B547" s="305"/>
      <c r="C547" s="254"/>
      <c r="D547" s="240"/>
      <c r="E547" s="222">
        <v>2018</v>
      </c>
      <c r="F547" s="143"/>
      <c r="G547" s="7"/>
      <c r="H547" s="7"/>
      <c r="I547" s="7"/>
      <c r="J547" s="14"/>
      <c r="K547" s="240"/>
    </row>
    <row r="548" spans="1:35" ht="15" x14ac:dyDescent="0.25">
      <c r="A548" s="307"/>
      <c r="B548" s="305"/>
      <c r="C548" s="254"/>
      <c r="D548" s="240"/>
      <c r="E548" s="222">
        <v>2019</v>
      </c>
      <c r="F548" s="143"/>
      <c r="G548" s="7"/>
      <c r="H548" s="7"/>
      <c r="I548" s="7"/>
      <c r="J548" s="14"/>
      <c r="K548" s="240"/>
    </row>
    <row r="549" spans="1:35" ht="15" x14ac:dyDescent="0.25">
      <c r="A549" s="307"/>
      <c r="B549" s="305"/>
      <c r="C549" s="254"/>
      <c r="D549" s="240"/>
      <c r="E549" s="222">
        <v>2020</v>
      </c>
      <c r="F549" s="143"/>
      <c r="G549" s="7"/>
      <c r="H549" s="7"/>
      <c r="I549" s="7"/>
      <c r="J549" s="14"/>
      <c r="K549" s="240"/>
    </row>
    <row r="550" spans="1:35" ht="15" x14ac:dyDescent="0.25">
      <c r="A550" s="307"/>
      <c r="B550" s="305"/>
      <c r="C550" s="282"/>
      <c r="D550" s="241"/>
      <c r="E550" s="18" t="s">
        <v>18</v>
      </c>
      <c r="F550" s="8">
        <f>SUM(F544:F549)</f>
        <v>260.60000000000002</v>
      </c>
      <c r="G550" s="7"/>
      <c r="H550" s="8">
        <f>H549+H548+H547+H546+H544+H545</f>
        <v>230</v>
      </c>
      <c r="I550" s="8">
        <f>SUM(I544:I549)</f>
        <v>30.6</v>
      </c>
      <c r="J550" s="14"/>
      <c r="K550" s="241"/>
    </row>
    <row r="551" spans="1:35" ht="15" customHeight="1" x14ac:dyDescent="0.25">
      <c r="A551" s="300" t="s">
        <v>280</v>
      </c>
      <c r="B551" s="252" t="s">
        <v>232</v>
      </c>
      <c r="C551" s="253" t="s">
        <v>407</v>
      </c>
      <c r="D551" s="240" t="s">
        <v>207</v>
      </c>
      <c r="E551" s="208">
        <v>2016</v>
      </c>
      <c r="F551" s="7">
        <f t="shared" ref="F551:F559" si="100">G551+H551+I551</f>
        <v>445</v>
      </c>
      <c r="G551" s="154"/>
      <c r="H551" s="154"/>
      <c r="I551" s="155">
        <v>445</v>
      </c>
      <c r="J551" s="91"/>
      <c r="K551" s="240" t="s">
        <v>134</v>
      </c>
    </row>
    <row r="552" spans="1:35" ht="12.75" customHeight="1" x14ac:dyDescent="0.25">
      <c r="A552" s="300"/>
      <c r="B552" s="377"/>
      <c r="C552" s="253"/>
      <c r="D552" s="240"/>
      <c r="E552" s="222">
        <v>2017</v>
      </c>
      <c r="F552" s="7">
        <f t="shared" si="100"/>
        <v>480.6</v>
      </c>
      <c r="G552" s="9"/>
      <c r="H552" s="9"/>
      <c r="I552" s="10">
        <v>480.6</v>
      </c>
      <c r="J552" s="22"/>
      <c r="K552" s="240"/>
      <c r="L552" s="99"/>
      <c r="O552" s="99"/>
    </row>
    <row r="553" spans="1:35" ht="15" customHeight="1" x14ac:dyDescent="0.25">
      <c r="A553" s="300"/>
      <c r="B553" s="377"/>
      <c r="C553" s="253"/>
      <c r="D553" s="240"/>
      <c r="E553" s="222">
        <v>2018</v>
      </c>
      <c r="F553" s="7">
        <f t="shared" si="100"/>
        <v>480.6</v>
      </c>
      <c r="G553" s="9"/>
      <c r="H553" s="9"/>
      <c r="I553" s="10">
        <v>480.6</v>
      </c>
      <c r="J553" s="22"/>
      <c r="K553" s="240"/>
      <c r="L553" s="99"/>
    </row>
    <row r="554" spans="1:35" ht="13.5" customHeight="1" x14ac:dyDescent="0.25">
      <c r="A554" s="300"/>
      <c r="B554" s="377"/>
      <c r="C554" s="253"/>
      <c r="D554" s="240"/>
      <c r="E554" s="222">
        <v>2019</v>
      </c>
      <c r="F554" s="155">
        <f t="shared" si="100"/>
        <v>600</v>
      </c>
      <c r="G554" s="9"/>
      <c r="H554" s="9"/>
      <c r="I554" s="10">
        <f>700-100</f>
        <v>600</v>
      </c>
      <c r="J554" s="22"/>
      <c r="K554" s="240"/>
      <c r="L554" s="99"/>
    </row>
    <row r="555" spans="1:35" ht="12.75" customHeight="1" x14ac:dyDescent="0.25">
      <c r="A555" s="300"/>
      <c r="B555" s="377"/>
      <c r="C555" s="253"/>
      <c r="D555" s="240"/>
      <c r="E555" s="222">
        <v>2020</v>
      </c>
      <c r="F555" s="10">
        <f t="shared" si="100"/>
        <v>250</v>
      </c>
      <c r="G555" s="10"/>
      <c r="H555" s="10"/>
      <c r="I555" s="10">
        <f>500-250</f>
        <v>250</v>
      </c>
      <c r="J555" s="22"/>
      <c r="K555" s="240"/>
    </row>
    <row r="556" spans="1:35" ht="12.75" customHeight="1" x14ac:dyDescent="0.25">
      <c r="A556" s="300"/>
      <c r="B556" s="377"/>
      <c r="C556" s="253"/>
      <c r="D556" s="240"/>
      <c r="E556" s="222">
        <v>2021</v>
      </c>
      <c r="F556" s="10">
        <f t="shared" ref="F556" si="101">G556+H556+I556</f>
        <v>0</v>
      </c>
      <c r="G556" s="10"/>
      <c r="H556" s="10"/>
      <c r="I556" s="10">
        <v>0</v>
      </c>
      <c r="J556" s="22"/>
      <c r="K556" s="240"/>
    </row>
    <row r="557" spans="1:35" ht="21" customHeight="1" x14ac:dyDescent="0.2">
      <c r="A557" s="301"/>
      <c r="B557" s="250"/>
      <c r="C557" s="281"/>
      <c r="D557" s="241"/>
      <c r="E557" s="26" t="s">
        <v>18</v>
      </c>
      <c r="F557" s="9">
        <f t="shared" si="100"/>
        <v>2256.1999999999998</v>
      </c>
      <c r="G557" s="9"/>
      <c r="H557" s="9"/>
      <c r="I557" s="9">
        <f>SUM(I551:I555)</f>
        <v>2256.1999999999998</v>
      </c>
      <c r="J557" s="22"/>
      <c r="K557" s="241"/>
    </row>
    <row r="558" spans="1:35" ht="15" customHeight="1" x14ac:dyDescent="0.25">
      <c r="A558" s="300" t="s">
        <v>281</v>
      </c>
      <c r="B558" s="252" t="s">
        <v>408</v>
      </c>
      <c r="C558" s="253">
        <v>2017</v>
      </c>
      <c r="D558" s="240" t="s">
        <v>207</v>
      </c>
      <c r="E558" s="222">
        <v>2017</v>
      </c>
      <c r="F558" s="7">
        <f t="shared" si="100"/>
        <v>1169.2</v>
      </c>
      <c r="G558" s="8"/>
      <c r="H558" s="8"/>
      <c r="I558" s="7">
        <v>1169.2</v>
      </c>
      <c r="J558" s="14"/>
      <c r="K558" s="240" t="s">
        <v>253</v>
      </c>
      <c r="L558" s="99"/>
    </row>
    <row r="559" spans="1:35" ht="52.5" customHeight="1" thickBot="1" x14ac:dyDescent="0.25">
      <c r="A559" s="301"/>
      <c r="B559" s="250"/>
      <c r="C559" s="281"/>
      <c r="D559" s="241"/>
      <c r="E559" s="26" t="s">
        <v>18</v>
      </c>
      <c r="F559" s="9">
        <f t="shared" si="100"/>
        <v>1169.2</v>
      </c>
      <c r="G559" s="9"/>
      <c r="H559" s="9"/>
      <c r="I559" s="9">
        <f>SUM(I558:I558)</f>
        <v>1169.2</v>
      </c>
      <c r="J559" s="22"/>
      <c r="K559" s="241"/>
    </row>
    <row r="560" spans="1:35" ht="15" thickBot="1" x14ac:dyDescent="0.25">
      <c r="A560" s="293" t="s">
        <v>409</v>
      </c>
      <c r="B560" s="294"/>
      <c r="C560" s="294"/>
      <c r="D560" s="294"/>
      <c r="E560" s="294"/>
      <c r="F560" s="294"/>
      <c r="G560" s="294"/>
      <c r="H560" s="294"/>
      <c r="I560" s="294"/>
      <c r="J560" s="294"/>
      <c r="K560" s="294"/>
      <c r="L560" s="25"/>
      <c r="M560" s="63"/>
      <c r="N560" s="63"/>
      <c r="O560" s="63"/>
      <c r="P560" s="63"/>
      <c r="Q560" s="63"/>
      <c r="R560" s="63"/>
      <c r="S560" s="63"/>
      <c r="T560" s="63"/>
      <c r="U560" s="63"/>
      <c r="V560" s="63"/>
      <c r="W560" s="63"/>
      <c r="X560" s="63"/>
      <c r="Y560" s="63"/>
      <c r="Z560" s="63"/>
      <c r="AA560" s="63"/>
      <c r="AB560" s="63"/>
      <c r="AC560" s="63"/>
      <c r="AD560" s="63"/>
      <c r="AE560" s="63"/>
      <c r="AF560" s="63"/>
      <c r="AG560" s="63"/>
      <c r="AH560" s="63"/>
      <c r="AI560" s="64"/>
    </row>
    <row r="561" spans="1:35" ht="15" x14ac:dyDescent="0.25">
      <c r="A561" s="266" t="s">
        <v>435</v>
      </c>
      <c r="B561" s="295" t="s">
        <v>440</v>
      </c>
      <c r="C561" s="296" t="s">
        <v>410</v>
      </c>
      <c r="D561" s="239" t="s">
        <v>207</v>
      </c>
      <c r="E561" s="222">
        <v>2019</v>
      </c>
      <c r="F561" s="7">
        <f>H561+I561</f>
        <v>136.1</v>
      </c>
      <c r="G561" s="7"/>
      <c r="H561" s="7">
        <v>134.69999999999999</v>
      </c>
      <c r="I561" s="7">
        <v>1.4</v>
      </c>
      <c r="J561" s="14"/>
      <c r="K561" s="239" t="s">
        <v>411</v>
      </c>
      <c r="L561" s="28"/>
    </row>
    <row r="562" spans="1:35" ht="15" x14ac:dyDescent="0.25">
      <c r="A562" s="267"/>
      <c r="B562" s="294"/>
      <c r="C562" s="254"/>
      <c r="D562" s="240"/>
      <c r="E562" s="222">
        <v>2020</v>
      </c>
      <c r="F562" s="7">
        <f t="shared" ref="F562:F563" si="102">H562+I562</f>
        <v>1070</v>
      </c>
      <c r="G562" s="7"/>
      <c r="H562" s="7">
        <v>1059.3</v>
      </c>
      <c r="I562" s="7">
        <v>10.7</v>
      </c>
      <c r="J562" s="14"/>
      <c r="K562" s="240"/>
    </row>
    <row r="563" spans="1:35" ht="15" x14ac:dyDescent="0.25">
      <c r="A563" s="267"/>
      <c r="B563" s="294"/>
      <c r="C563" s="254"/>
      <c r="D563" s="240"/>
      <c r="E563" s="222">
        <v>2021</v>
      </c>
      <c r="F563" s="7">
        <f t="shared" si="102"/>
        <v>0</v>
      </c>
      <c r="G563" s="7"/>
      <c r="H563" s="7">
        <v>0</v>
      </c>
      <c r="I563" s="7">
        <v>0</v>
      </c>
      <c r="J563" s="14"/>
      <c r="K563" s="240"/>
      <c r="L563" s="99"/>
    </row>
    <row r="564" spans="1:35" ht="228" customHeight="1" thickBot="1" x14ac:dyDescent="0.3">
      <c r="A564" s="267"/>
      <c r="B564" s="294"/>
      <c r="C564" s="254"/>
      <c r="D564" s="240"/>
      <c r="E564" s="18" t="s">
        <v>18</v>
      </c>
      <c r="F564" s="8">
        <f>SUM(F561:F563)</f>
        <v>1206.0999999999999</v>
      </c>
      <c r="G564" s="7"/>
      <c r="H564" s="8">
        <f>SUM(H561:H563)</f>
        <v>1194</v>
      </c>
      <c r="I564" s="8">
        <f>SUM(I561:I563)</f>
        <v>12.1</v>
      </c>
      <c r="J564" s="8">
        <f>SUM(J561:J563)</f>
        <v>0</v>
      </c>
      <c r="K564" s="241"/>
    </row>
    <row r="565" spans="1:35" ht="13.5" customHeight="1" thickBot="1" x14ac:dyDescent="0.25">
      <c r="A565" s="297" t="s">
        <v>174</v>
      </c>
      <c r="B565" s="298"/>
      <c r="C565" s="298"/>
      <c r="D565" s="299"/>
      <c r="E565" s="6" t="s">
        <v>403</v>
      </c>
      <c r="F565" s="146">
        <f>SUM(G565:J565)</f>
        <v>762858.39999999979</v>
      </c>
      <c r="G565" s="147">
        <f>G516+G524+G531+G543</f>
        <v>0</v>
      </c>
      <c r="H565" s="146">
        <f>H516+H524+H531+H543+H502+H550+H557+H559+H564</f>
        <v>1424</v>
      </c>
      <c r="I565" s="146">
        <f>I516+I524+I531+I543+I502+I550+I557+I559+I564</f>
        <v>761434.39999999979</v>
      </c>
      <c r="J565" s="146">
        <f>J516+J524+J531+J543+J502</f>
        <v>0</v>
      </c>
      <c r="K565" s="6"/>
      <c r="L565" s="129"/>
      <c r="M565" s="130"/>
      <c r="N565" s="65"/>
    </row>
    <row r="566" spans="1:35" ht="32.25" customHeight="1" thickBot="1" x14ac:dyDescent="0.3">
      <c r="A566" s="293" t="s">
        <v>73</v>
      </c>
      <c r="B566" s="294"/>
      <c r="C566" s="294"/>
      <c r="D566" s="294"/>
      <c r="E566" s="294"/>
      <c r="F566" s="294"/>
      <c r="G566" s="294"/>
      <c r="H566" s="294"/>
      <c r="I566" s="294"/>
      <c r="J566" s="294"/>
      <c r="K566" s="294"/>
      <c r="L566" s="66"/>
      <c r="M566" s="66"/>
      <c r="N566" s="66"/>
      <c r="O566" s="66"/>
      <c r="P566" s="66"/>
      <c r="Q566" s="66"/>
      <c r="R566" s="66"/>
      <c r="S566" s="66"/>
      <c r="T566" s="66"/>
      <c r="U566" s="66"/>
      <c r="V566" s="66"/>
      <c r="W566" s="66"/>
      <c r="X566" s="66"/>
      <c r="Y566" s="66"/>
      <c r="Z566" s="66"/>
      <c r="AA566" s="66"/>
      <c r="AB566" s="66"/>
      <c r="AC566" s="66"/>
      <c r="AD566" s="66"/>
      <c r="AE566" s="66"/>
      <c r="AF566" s="66"/>
      <c r="AG566" s="66"/>
      <c r="AH566" s="66"/>
      <c r="AI566" s="67"/>
    </row>
    <row r="567" spans="1:35" ht="17.25" customHeight="1" thickBot="1" x14ac:dyDescent="0.25">
      <c r="A567" s="491" t="s">
        <v>74</v>
      </c>
      <c r="B567" s="309"/>
      <c r="C567" s="309"/>
      <c r="D567" s="309"/>
      <c r="E567" s="309"/>
      <c r="F567" s="309"/>
      <c r="G567" s="309"/>
      <c r="H567" s="309"/>
      <c r="I567" s="309"/>
      <c r="J567" s="309"/>
      <c r="K567" s="309"/>
      <c r="L567" s="63"/>
      <c r="M567" s="63"/>
      <c r="N567" s="63"/>
      <c r="O567" s="63"/>
      <c r="P567" s="63"/>
      <c r="Q567" s="63"/>
      <c r="R567" s="63"/>
      <c r="S567" s="63"/>
      <c r="T567" s="63"/>
      <c r="U567" s="63"/>
      <c r="V567" s="63"/>
      <c r="W567" s="63"/>
      <c r="X567" s="63"/>
      <c r="Y567" s="63"/>
      <c r="Z567" s="63"/>
      <c r="AA567" s="63"/>
      <c r="AB567" s="63"/>
      <c r="AC567" s="63"/>
      <c r="AD567" s="63"/>
      <c r="AE567" s="63"/>
      <c r="AF567" s="63"/>
      <c r="AG567" s="63"/>
      <c r="AH567" s="63"/>
      <c r="AI567" s="64"/>
    </row>
    <row r="568" spans="1:35" ht="12.75" customHeight="1" x14ac:dyDescent="0.25">
      <c r="A568" s="432" t="s">
        <v>91</v>
      </c>
      <c r="B568" s="429" t="s">
        <v>156</v>
      </c>
      <c r="C568" s="296" t="s">
        <v>405</v>
      </c>
      <c r="D568" s="239" t="s">
        <v>207</v>
      </c>
      <c r="E568" s="222">
        <v>2015</v>
      </c>
      <c r="F568" s="156">
        <f t="shared" ref="F568:F573" si="103">SUM(G568:I568)</f>
        <v>25</v>
      </c>
      <c r="G568" s="7"/>
      <c r="H568" s="7"/>
      <c r="I568" s="7">
        <v>25</v>
      </c>
      <c r="J568" s="14"/>
      <c r="K568" s="239" t="s">
        <v>158</v>
      </c>
    </row>
    <row r="569" spans="1:35" ht="15" x14ac:dyDescent="0.25">
      <c r="A569" s="433"/>
      <c r="B569" s="430"/>
      <c r="C569" s="254"/>
      <c r="D569" s="254"/>
      <c r="E569" s="222">
        <v>2016</v>
      </c>
      <c r="F569" s="156">
        <f t="shared" si="103"/>
        <v>23.6</v>
      </c>
      <c r="G569" s="7"/>
      <c r="H569" s="7"/>
      <c r="I569" s="7">
        <f>26.3-2.7</f>
        <v>23.6</v>
      </c>
      <c r="J569" s="14"/>
      <c r="K569" s="240"/>
    </row>
    <row r="570" spans="1:35" ht="15" x14ac:dyDescent="0.25">
      <c r="A570" s="433"/>
      <c r="B570" s="430"/>
      <c r="C570" s="254"/>
      <c r="D570" s="254"/>
      <c r="E570" s="222">
        <v>2017</v>
      </c>
      <c r="F570" s="156">
        <f t="shared" si="103"/>
        <v>27</v>
      </c>
      <c r="G570" s="7"/>
      <c r="H570" s="7"/>
      <c r="I570" s="7">
        <v>27</v>
      </c>
      <c r="J570" s="14"/>
      <c r="K570" s="240"/>
      <c r="L570" s="99"/>
    </row>
    <row r="571" spans="1:35" ht="15" x14ac:dyDescent="0.25">
      <c r="A571" s="433"/>
      <c r="B571" s="430"/>
      <c r="C571" s="254"/>
      <c r="D571" s="254"/>
      <c r="E571" s="222">
        <v>2018</v>
      </c>
      <c r="F571" s="156">
        <f t="shared" si="103"/>
        <v>27.9</v>
      </c>
      <c r="G571" s="7"/>
      <c r="H571" s="7"/>
      <c r="I571" s="7">
        <v>27.9</v>
      </c>
      <c r="J571" s="14"/>
      <c r="K571" s="240"/>
      <c r="L571" s="99"/>
    </row>
    <row r="572" spans="1:35" ht="15" x14ac:dyDescent="0.25">
      <c r="A572" s="433"/>
      <c r="B572" s="430"/>
      <c r="C572" s="254"/>
      <c r="D572" s="254"/>
      <c r="E572" s="222">
        <v>2019</v>
      </c>
      <c r="F572" s="156">
        <f t="shared" si="103"/>
        <v>28.799999999999997</v>
      </c>
      <c r="G572" s="7"/>
      <c r="H572" s="7"/>
      <c r="I572" s="7">
        <f>70-41.2</f>
        <v>28.799999999999997</v>
      </c>
      <c r="J572" s="14"/>
      <c r="K572" s="240"/>
      <c r="L572" s="99"/>
    </row>
    <row r="573" spans="1:35" ht="15" x14ac:dyDescent="0.25">
      <c r="A573" s="433"/>
      <c r="B573" s="430"/>
      <c r="C573" s="254"/>
      <c r="D573" s="254"/>
      <c r="E573" s="222">
        <v>2020</v>
      </c>
      <c r="F573" s="156">
        <f t="shared" si="103"/>
        <v>70</v>
      </c>
      <c r="G573" s="8"/>
      <c r="H573" s="8"/>
      <c r="I573" s="7">
        <f>70</f>
        <v>70</v>
      </c>
      <c r="J573" s="13"/>
      <c r="K573" s="240"/>
    </row>
    <row r="574" spans="1:35" ht="15" x14ac:dyDescent="0.25">
      <c r="A574" s="433"/>
      <c r="B574" s="430"/>
      <c r="C574" s="254"/>
      <c r="D574" s="254"/>
      <c r="E574" s="222">
        <v>2021</v>
      </c>
      <c r="F574" s="156">
        <f t="shared" ref="F574:F578" si="104">SUM(G574:I574)</f>
        <v>0</v>
      </c>
      <c r="G574" s="7"/>
      <c r="H574" s="7"/>
      <c r="I574" s="7">
        <f>70-70</f>
        <v>0</v>
      </c>
      <c r="J574" s="14"/>
      <c r="K574" s="240"/>
    </row>
    <row r="575" spans="1:35" ht="15" x14ac:dyDescent="0.25">
      <c r="A575" s="433"/>
      <c r="B575" s="430"/>
      <c r="C575" s="254"/>
      <c r="D575" s="254"/>
      <c r="E575" s="222">
        <v>2022</v>
      </c>
      <c r="F575" s="156">
        <f t="shared" si="104"/>
        <v>0</v>
      </c>
      <c r="G575" s="7"/>
      <c r="H575" s="7"/>
      <c r="I575" s="7">
        <f>70-70</f>
        <v>0</v>
      </c>
      <c r="J575" s="14"/>
      <c r="K575" s="240"/>
      <c r="L575" s="99"/>
    </row>
    <row r="576" spans="1:35" ht="15" x14ac:dyDescent="0.25">
      <c r="A576" s="433"/>
      <c r="B576" s="430"/>
      <c r="C576" s="254"/>
      <c r="D576" s="254"/>
      <c r="E576" s="222">
        <v>2023</v>
      </c>
      <c r="F576" s="156">
        <f t="shared" si="104"/>
        <v>72.8</v>
      </c>
      <c r="G576" s="7"/>
      <c r="H576" s="7"/>
      <c r="I576" s="7">
        <v>72.8</v>
      </c>
      <c r="J576" s="14"/>
      <c r="K576" s="240"/>
      <c r="L576" s="99"/>
    </row>
    <row r="577" spans="1:12" ht="15" x14ac:dyDescent="0.25">
      <c r="A577" s="433"/>
      <c r="B577" s="430"/>
      <c r="C577" s="254"/>
      <c r="D577" s="254"/>
      <c r="E577" s="222">
        <v>2024</v>
      </c>
      <c r="F577" s="156">
        <f t="shared" si="104"/>
        <v>75.7</v>
      </c>
      <c r="G577" s="7"/>
      <c r="H577" s="7"/>
      <c r="I577" s="7">
        <v>75.7</v>
      </c>
      <c r="J577" s="14"/>
      <c r="K577" s="240"/>
      <c r="L577" s="99"/>
    </row>
    <row r="578" spans="1:12" ht="15" x14ac:dyDescent="0.25">
      <c r="A578" s="433"/>
      <c r="B578" s="430"/>
      <c r="C578" s="254"/>
      <c r="D578" s="254"/>
      <c r="E578" s="222">
        <v>2025</v>
      </c>
      <c r="F578" s="156">
        <f t="shared" si="104"/>
        <v>78.7</v>
      </c>
      <c r="G578" s="8"/>
      <c r="H578" s="8"/>
      <c r="I578" s="7">
        <v>78.7</v>
      </c>
      <c r="J578" s="13"/>
      <c r="K578" s="240"/>
    </row>
    <row r="579" spans="1:12" ht="14.25" x14ac:dyDescent="0.2">
      <c r="A579" s="434"/>
      <c r="B579" s="431"/>
      <c r="C579" s="254"/>
      <c r="D579" s="282"/>
      <c r="E579" s="18" t="s">
        <v>18</v>
      </c>
      <c r="F579" s="140">
        <f>SUM(F568:F578)</f>
        <v>429.5</v>
      </c>
      <c r="G579" s="8"/>
      <c r="H579" s="8"/>
      <c r="I579" s="8">
        <f>SUM(I568:I578)</f>
        <v>429.5</v>
      </c>
      <c r="J579" s="13"/>
      <c r="K579" s="240"/>
    </row>
    <row r="580" spans="1:12" ht="15" x14ac:dyDescent="0.25">
      <c r="A580" s="432" t="s">
        <v>67</v>
      </c>
      <c r="B580" s="429" t="s">
        <v>215</v>
      </c>
      <c r="C580" s="237" t="s">
        <v>413</v>
      </c>
      <c r="D580" s="239" t="s">
        <v>207</v>
      </c>
      <c r="E580" s="222">
        <v>2015</v>
      </c>
      <c r="F580" s="156">
        <f t="shared" ref="F580:F585" si="105">SUM(G580:I580)</f>
        <v>15</v>
      </c>
      <c r="G580" s="7"/>
      <c r="H580" s="7"/>
      <c r="I580" s="7">
        <v>15</v>
      </c>
      <c r="J580" s="14"/>
      <c r="K580" s="240"/>
    </row>
    <row r="581" spans="1:12" ht="15" x14ac:dyDescent="0.25">
      <c r="A581" s="433"/>
      <c r="B581" s="430"/>
      <c r="C581" s="238"/>
      <c r="D581" s="254"/>
      <c r="E581" s="222">
        <v>2016</v>
      </c>
      <c r="F581" s="156">
        <f t="shared" si="105"/>
        <v>15</v>
      </c>
      <c r="G581" s="7"/>
      <c r="H581" s="7"/>
      <c r="I581" s="7">
        <f>16-1</f>
        <v>15</v>
      </c>
      <c r="J581" s="14"/>
      <c r="K581" s="240"/>
    </row>
    <row r="582" spans="1:12" ht="15" x14ac:dyDescent="0.25">
      <c r="A582" s="433"/>
      <c r="B582" s="430"/>
      <c r="C582" s="238"/>
      <c r="D582" s="254"/>
      <c r="E582" s="222">
        <v>2017</v>
      </c>
      <c r="F582" s="156">
        <f t="shared" si="105"/>
        <v>16</v>
      </c>
      <c r="G582" s="7"/>
      <c r="H582" s="7"/>
      <c r="I582" s="7">
        <v>16</v>
      </c>
      <c r="J582" s="14"/>
      <c r="K582" s="240"/>
      <c r="L582" s="99"/>
    </row>
    <row r="583" spans="1:12" ht="15" x14ac:dyDescent="0.25">
      <c r="A583" s="433"/>
      <c r="B583" s="430"/>
      <c r="C583" s="238"/>
      <c r="D583" s="254"/>
      <c r="E583" s="222">
        <v>2018</v>
      </c>
      <c r="F583" s="156">
        <f t="shared" si="105"/>
        <v>0.60000000000000142</v>
      </c>
      <c r="G583" s="7"/>
      <c r="H583" s="7"/>
      <c r="I583" s="7">
        <f>19.5-18.9</f>
        <v>0.60000000000000142</v>
      </c>
      <c r="J583" s="14"/>
      <c r="K583" s="240"/>
      <c r="L583" s="99"/>
    </row>
    <row r="584" spans="1:12" ht="15" x14ac:dyDescent="0.25">
      <c r="A584" s="433"/>
      <c r="B584" s="430"/>
      <c r="C584" s="238"/>
      <c r="D584" s="254"/>
      <c r="E584" s="222">
        <v>2019</v>
      </c>
      <c r="F584" s="156">
        <f t="shared" si="105"/>
        <v>30</v>
      </c>
      <c r="G584" s="7"/>
      <c r="H584" s="7"/>
      <c r="I584" s="7">
        <v>30</v>
      </c>
      <c r="J584" s="14"/>
      <c r="K584" s="240"/>
      <c r="L584" s="99"/>
    </row>
    <row r="585" spans="1:12" ht="15" x14ac:dyDescent="0.25">
      <c r="A585" s="433"/>
      <c r="B585" s="430"/>
      <c r="C585" s="238"/>
      <c r="D585" s="254"/>
      <c r="E585" s="222">
        <v>2020</v>
      </c>
      <c r="F585" s="156">
        <f t="shared" si="105"/>
        <v>0</v>
      </c>
      <c r="G585" s="8"/>
      <c r="H585" s="8"/>
      <c r="I585" s="7">
        <v>0</v>
      </c>
      <c r="J585" s="13"/>
      <c r="K585" s="240"/>
    </row>
    <row r="586" spans="1:12" ht="15" x14ac:dyDescent="0.25">
      <c r="A586" s="433"/>
      <c r="B586" s="430"/>
      <c r="C586" s="238"/>
      <c r="D586" s="254"/>
      <c r="E586" s="222">
        <v>2021</v>
      </c>
      <c r="F586" s="156">
        <f t="shared" ref="F586" si="106">SUM(G586:I586)</f>
        <v>0</v>
      </c>
      <c r="G586" s="8"/>
      <c r="H586" s="8"/>
      <c r="I586" s="7">
        <v>0</v>
      </c>
      <c r="J586" s="13"/>
      <c r="K586" s="240"/>
    </row>
    <row r="587" spans="1:12" ht="14.25" x14ac:dyDescent="0.2">
      <c r="A587" s="434"/>
      <c r="B587" s="431"/>
      <c r="C587" s="238"/>
      <c r="D587" s="282"/>
      <c r="E587" s="18" t="s">
        <v>18</v>
      </c>
      <c r="F587" s="140">
        <f>SUM(F580:F585)</f>
        <v>76.599999999999994</v>
      </c>
      <c r="G587" s="8"/>
      <c r="H587" s="8"/>
      <c r="I587" s="8">
        <f>SUM(I580:I585)</f>
        <v>76.599999999999994</v>
      </c>
      <c r="J587" s="13"/>
      <c r="K587" s="241"/>
    </row>
    <row r="588" spans="1:12" ht="14.25" x14ac:dyDescent="0.2">
      <c r="A588" s="293" t="s">
        <v>75</v>
      </c>
      <c r="B588" s="294"/>
      <c r="C588" s="428"/>
      <c r="D588" s="294"/>
      <c r="E588" s="294"/>
      <c r="F588" s="294"/>
      <c r="G588" s="294"/>
      <c r="H588" s="294"/>
      <c r="I588" s="294"/>
      <c r="J588" s="294"/>
      <c r="K588" s="294"/>
    </row>
    <row r="589" spans="1:12" ht="15" x14ac:dyDescent="0.25">
      <c r="A589" s="424" t="s">
        <v>43</v>
      </c>
      <c r="B589" s="427" t="s">
        <v>130</v>
      </c>
      <c r="C589" s="296" t="s">
        <v>413</v>
      </c>
      <c r="D589" s="239" t="s">
        <v>207</v>
      </c>
      <c r="E589" s="222">
        <v>2015</v>
      </c>
      <c r="F589" s="156">
        <f t="shared" ref="F589:F594" si="107">SUM(G589:I589)</f>
        <v>10</v>
      </c>
      <c r="G589" s="7"/>
      <c r="H589" s="7"/>
      <c r="I589" s="7">
        <v>10</v>
      </c>
      <c r="J589" s="14"/>
      <c r="K589" s="239" t="s">
        <v>157</v>
      </c>
    </row>
    <row r="590" spans="1:12" ht="15" x14ac:dyDescent="0.25">
      <c r="A590" s="425"/>
      <c r="B590" s="320"/>
      <c r="C590" s="254"/>
      <c r="D590" s="254"/>
      <c r="E590" s="222">
        <v>2016</v>
      </c>
      <c r="F590" s="156">
        <f t="shared" si="107"/>
        <v>7.7</v>
      </c>
      <c r="G590" s="7"/>
      <c r="H590" s="7"/>
      <c r="I590" s="7">
        <f>11-3.3</f>
        <v>7.7</v>
      </c>
      <c r="J590" s="14"/>
      <c r="K590" s="240"/>
      <c r="L590" s="99"/>
    </row>
    <row r="591" spans="1:12" ht="15" x14ac:dyDescent="0.25">
      <c r="A591" s="425"/>
      <c r="B591" s="320"/>
      <c r="C591" s="254"/>
      <c r="D591" s="254"/>
      <c r="E591" s="222">
        <v>2017</v>
      </c>
      <c r="F591" s="156">
        <f t="shared" si="107"/>
        <v>8.6999999999999993</v>
      </c>
      <c r="G591" s="7"/>
      <c r="H591" s="7"/>
      <c r="I591" s="7">
        <v>8.6999999999999993</v>
      </c>
      <c r="J591" s="14"/>
      <c r="K591" s="240"/>
      <c r="L591" s="99"/>
    </row>
    <row r="592" spans="1:12" ht="15" x14ac:dyDescent="0.25">
      <c r="A592" s="425"/>
      <c r="B592" s="320"/>
      <c r="C592" s="254"/>
      <c r="D592" s="254"/>
      <c r="E592" s="222">
        <v>2018</v>
      </c>
      <c r="F592" s="156">
        <f t="shared" si="107"/>
        <v>13</v>
      </c>
      <c r="G592" s="7"/>
      <c r="H592" s="7"/>
      <c r="I592" s="7">
        <v>13</v>
      </c>
      <c r="J592" s="14"/>
      <c r="K592" s="240"/>
      <c r="L592" s="99"/>
    </row>
    <row r="593" spans="1:13" ht="15" x14ac:dyDescent="0.25">
      <c r="A593" s="425"/>
      <c r="B593" s="320"/>
      <c r="C593" s="254"/>
      <c r="D593" s="254"/>
      <c r="E593" s="222">
        <v>2019</v>
      </c>
      <c r="F593" s="156">
        <f t="shared" si="107"/>
        <v>0</v>
      </c>
      <c r="G593" s="7"/>
      <c r="H593" s="7"/>
      <c r="I593" s="7">
        <f>13-13</f>
        <v>0</v>
      </c>
      <c r="J593" s="14"/>
      <c r="K593" s="240"/>
      <c r="L593" s="99"/>
    </row>
    <row r="594" spans="1:13" ht="15" x14ac:dyDescent="0.25">
      <c r="A594" s="425"/>
      <c r="B594" s="320"/>
      <c r="C594" s="254"/>
      <c r="D594" s="254"/>
      <c r="E594" s="222">
        <v>2020</v>
      </c>
      <c r="F594" s="156">
        <f t="shared" si="107"/>
        <v>0</v>
      </c>
      <c r="G594" s="7"/>
      <c r="H594" s="7"/>
      <c r="I594" s="7">
        <v>0</v>
      </c>
      <c r="J594" s="14"/>
      <c r="K594" s="240"/>
    </row>
    <row r="595" spans="1:13" ht="15" x14ac:dyDescent="0.25">
      <c r="A595" s="426"/>
      <c r="B595" s="287"/>
      <c r="C595" s="254"/>
      <c r="D595" s="254"/>
      <c r="E595" s="222">
        <v>2021</v>
      </c>
      <c r="F595" s="156">
        <f t="shared" ref="F595" si="108">SUM(G595:I595)</f>
        <v>0</v>
      </c>
      <c r="G595" s="7"/>
      <c r="H595" s="7"/>
      <c r="I595" s="7">
        <v>0</v>
      </c>
      <c r="J595" s="14"/>
      <c r="K595" s="240"/>
    </row>
    <row r="596" spans="1:13" ht="18" customHeight="1" thickBot="1" x14ac:dyDescent="0.25">
      <c r="A596" s="426"/>
      <c r="B596" s="287"/>
      <c r="C596" s="254"/>
      <c r="D596" s="254"/>
      <c r="E596" s="26" t="s">
        <v>18</v>
      </c>
      <c r="F596" s="146">
        <f>SUM(F589:F594)</f>
        <v>39.4</v>
      </c>
      <c r="G596" s="9"/>
      <c r="H596" s="9"/>
      <c r="I596" s="9">
        <f>SUM(I589:I594)</f>
        <v>39.4</v>
      </c>
      <c r="J596" s="22"/>
      <c r="K596" s="240"/>
      <c r="L596" s="126"/>
      <c r="M596" s="127"/>
    </row>
    <row r="597" spans="1:13" ht="18" customHeight="1" thickBot="1" x14ac:dyDescent="0.25">
      <c r="A597" s="419" t="s">
        <v>185</v>
      </c>
      <c r="B597" s="420"/>
      <c r="C597" s="420"/>
      <c r="D597" s="420"/>
      <c r="E597" s="93" t="s">
        <v>403</v>
      </c>
      <c r="F597" s="149">
        <f>F579+F596+F587</f>
        <v>545.5</v>
      </c>
      <c r="G597" s="149"/>
      <c r="H597" s="149">
        <f>H579+H596+H587</f>
        <v>0</v>
      </c>
      <c r="I597" s="149">
        <f>I579+I596+I587</f>
        <v>545.5</v>
      </c>
      <c r="J597" s="94"/>
      <c r="K597" s="95"/>
    </row>
    <row r="598" spans="1:13" ht="15" thickBot="1" x14ac:dyDescent="0.25">
      <c r="A598" s="421" t="s">
        <v>186</v>
      </c>
      <c r="B598" s="422"/>
      <c r="C598" s="422"/>
      <c r="D598" s="422"/>
      <c r="E598" s="422"/>
      <c r="F598" s="422"/>
      <c r="G598" s="422"/>
      <c r="H598" s="422"/>
      <c r="I598" s="422"/>
      <c r="J598" s="422"/>
      <c r="K598" s="423"/>
    </row>
    <row r="599" spans="1:13" ht="14.25" x14ac:dyDescent="0.2">
      <c r="A599" s="438" t="s">
        <v>76</v>
      </c>
      <c r="B599" s="439"/>
      <c r="C599" s="439"/>
      <c r="D599" s="439"/>
      <c r="E599" s="440"/>
      <c r="F599" s="440"/>
      <c r="G599" s="440"/>
      <c r="H599" s="440"/>
      <c r="I599" s="440"/>
      <c r="J599" s="440"/>
      <c r="K599" s="441"/>
    </row>
    <row r="600" spans="1:13" ht="15" x14ac:dyDescent="0.25">
      <c r="A600" s="442" t="s">
        <v>77</v>
      </c>
      <c r="B600" s="251" t="s">
        <v>78</v>
      </c>
      <c r="C600" s="296" t="s">
        <v>405</v>
      </c>
      <c r="D600" s="239" t="s">
        <v>207</v>
      </c>
      <c r="E600" s="222">
        <v>2015</v>
      </c>
      <c r="F600" s="156">
        <f t="shared" ref="F600:F605" si="109">SUM(G600:I600)</f>
        <v>50</v>
      </c>
      <c r="G600" s="7"/>
      <c r="H600" s="7"/>
      <c r="I600" s="7">
        <v>50</v>
      </c>
      <c r="J600" s="14"/>
      <c r="K600" s="239" t="s">
        <v>159</v>
      </c>
    </row>
    <row r="601" spans="1:13" ht="15" x14ac:dyDescent="0.25">
      <c r="A601" s="443"/>
      <c r="B601" s="294"/>
      <c r="C601" s="254"/>
      <c r="D601" s="254"/>
      <c r="E601" s="222">
        <v>2016</v>
      </c>
      <c r="F601" s="156">
        <f t="shared" si="109"/>
        <v>83</v>
      </c>
      <c r="G601" s="7"/>
      <c r="H601" s="7"/>
      <c r="I601" s="7">
        <f>60+23</f>
        <v>83</v>
      </c>
      <c r="J601" s="14"/>
      <c r="K601" s="240"/>
      <c r="L601" s="99"/>
    </row>
    <row r="602" spans="1:13" ht="15" x14ac:dyDescent="0.25">
      <c r="A602" s="443"/>
      <c r="B602" s="294"/>
      <c r="C602" s="254"/>
      <c r="D602" s="254"/>
      <c r="E602" s="222">
        <v>2017</v>
      </c>
      <c r="F602" s="156">
        <f t="shared" si="109"/>
        <v>70</v>
      </c>
      <c r="G602" s="7"/>
      <c r="H602" s="7"/>
      <c r="I602" s="7">
        <v>70</v>
      </c>
      <c r="J602" s="14"/>
      <c r="K602" s="240"/>
      <c r="L602" s="99"/>
    </row>
    <row r="603" spans="1:13" ht="15" x14ac:dyDescent="0.25">
      <c r="A603" s="443"/>
      <c r="B603" s="294"/>
      <c r="C603" s="254"/>
      <c r="D603" s="254"/>
      <c r="E603" s="222">
        <v>2018</v>
      </c>
      <c r="F603" s="156">
        <f t="shared" si="109"/>
        <v>96.2</v>
      </c>
      <c r="G603" s="7"/>
      <c r="H603" s="7"/>
      <c r="I603" s="7">
        <v>96.2</v>
      </c>
      <c r="J603" s="14"/>
      <c r="K603" s="240"/>
      <c r="L603" s="99"/>
    </row>
    <row r="604" spans="1:13" ht="15" x14ac:dyDescent="0.25">
      <c r="A604" s="443"/>
      <c r="B604" s="294"/>
      <c r="C604" s="254"/>
      <c r="D604" s="254"/>
      <c r="E604" s="222">
        <v>2019</v>
      </c>
      <c r="F604" s="156">
        <f t="shared" si="109"/>
        <v>165</v>
      </c>
      <c r="G604" s="7"/>
      <c r="H604" s="7"/>
      <c r="I604" s="7">
        <v>165</v>
      </c>
      <c r="J604" s="14"/>
      <c r="K604" s="240"/>
      <c r="L604" s="99"/>
    </row>
    <row r="605" spans="1:13" ht="15" x14ac:dyDescent="0.25">
      <c r="A605" s="443"/>
      <c r="B605" s="294"/>
      <c r="C605" s="254"/>
      <c r="D605" s="254"/>
      <c r="E605" s="222">
        <v>2020</v>
      </c>
      <c r="F605" s="156">
        <f t="shared" si="109"/>
        <v>83</v>
      </c>
      <c r="G605" s="7"/>
      <c r="H605" s="7"/>
      <c r="I605" s="7">
        <v>83</v>
      </c>
      <c r="J605" s="14"/>
      <c r="K605" s="240"/>
    </row>
    <row r="606" spans="1:13" ht="15" x14ac:dyDescent="0.25">
      <c r="A606" s="443"/>
      <c r="B606" s="309"/>
      <c r="C606" s="254"/>
      <c r="D606" s="254"/>
      <c r="E606" s="222">
        <v>2021</v>
      </c>
      <c r="F606" s="156">
        <f t="shared" ref="F606:F609" si="110">SUM(G606:I606)</f>
        <v>0</v>
      </c>
      <c r="G606" s="7"/>
      <c r="H606" s="7"/>
      <c r="I606" s="7">
        <f>80-80</f>
        <v>0</v>
      </c>
      <c r="J606" s="14"/>
      <c r="K606" s="240"/>
      <c r="L606" s="99"/>
    </row>
    <row r="607" spans="1:13" ht="15" x14ac:dyDescent="0.25">
      <c r="A607" s="443"/>
      <c r="B607" s="309"/>
      <c r="C607" s="254"/>
      <c r="D607" s="254"/>
      <c r="E607" s="222">
        <v>2022</v>
      </c>
      <c r="F607" s="156">
        <f t="shared" si="110"/>
        <v>0</v>
      </c>
      <c r="G607" s="7"/>
      <c r="H607" s="7"/>
      <c r="I607" s="7">
        <f>80-80</f>
        <v>0</v>
      </c>
      <c r="J607" s="14"/>
      <c r="K607" s="240"/>
      <c r="L607" s="99"/>
    </row>
    <row r="608" spans="1:13" ht="15" x14ac:dyDescent="0.25">
      <c r="A608" s="443"/>
      <c r="B608" s="309"/>
      <c r="C608" s="254"/>
      <c r="D608" s="254"/>
      <c r="E608" s="222">
        <v>2023</v>
      </c>
      <c r="F608" s="156">
        <f t="shared" si="110"/>
        <v>83.2</v>
      </c>
      <c r="G608" s="7"/>
      <c r="H608" s="7"/>
      <c r="I608" s="7">
        <v>83.2</v>
      </c>
      <c r="J608" s="14"/>
      <c r="K608" s="240"/>
      <c r="L608" s="99"/>
    </row>
    <row r="609" spans="1:12" ht="15" x14ac:dyDescent="0.25">
      <c r="A609" s="443"/>
      <c r="B609" s="309"/>
      <c r="C609" s="254"/>
      <c r="D609" s="254"/>
      <c r="E609" s="222">
        <v>2024</v>
      </c>
      <c r="F609" s="156">
        <f t="shared" si="110"/>
        <v>86.5</v>
      </c>
      <c r="G609" s="7"/>
      <c r="H609" s="7"/>
      <c r="I609" s="7">
        <v>86.5</v>
      </c>
      <c r="J609" s="14"/>
      <c r="K609" s="240"/>
      <c r="L609" s="99"/>
    </row>
    <row r="610" spans="1:12" ht="15" x14ac:dyDescent="0.25">
      <c r="A610" s="443"/>
      <c r="B610" s="309"/>
      <c r="C610" s="254"/>
      <c r="D610" s="254"/>
      <c r="E610" s="222">
        <v>2025</v>
      </c>
      <c r="F610" s="156">
        <f t="shared" ref="F610" si="111">SUM(G610:I610)</f>
        <v>90</v>
      </c>
      <c r="G610" s="7"/>
      <c r="H610" s="7"/>
      <c r="I610" s="7">
        <v>90</v>
      </c>
      <c r="J610" s="14"/>
      <c r="K610" s="240"/>
      <c r="L610" s="99"/>
    </row>
    <row r="611" spans="1:12" ht="14.25" x14ac:dyDescent="0.2">
      <c r="A611" s="443"/>
      <c r="B611" s="309"/>
      <c r="C611" s="254"/>
      <c r="D611" s="282"/>
      <c r="E611" s="26" t="s">
        <v>18</v>
      </c>
      <c r="F611" s="140">
        <f>SUM(F600:F610)</f>
        <v>806.90000000000009</v>
      </c>
      <c r="G611" s="8"/>
      <c r="H611" s="8"/>
      <c r="I611" s="8">
        <f>SUM(I600:I610)</f>
        <v>806.90000000000009</v>
      </c>
      <c r="J611" s="14"/>
      <c r="K611" s="240"/>
    </row>
    <row r="612" spans="1:12" ht="15" x14ac:dyDescent="0.25">
      <c r="A612" s="442" t="s">
        <v>79</v>
      </c>
      <c r="B612" s="251" t="s">
        <v>80</v>
      </c>
      <c r="C612" s="237" t="s">
        <v>68</v>
      </c>
      <c r="D612" s="239" t="s">
        <v>207</v>
      </c>
      <c r="E612" s="222">
        <v>2015</v>
      </c>
      <c r="F612" s="157">
        <f t="shared" ref="F612:F617" si="112">SUM(G612:I612)</f>
        <v>150</v>
      </c>
      <c r="G612" s="7"/>
      <c r="H612" s="7"/>
      <c r="I612" s="7">
        <v>150</v>
      </c>
      <c r="J612" s="14"/>
      <c r="K612" s="240"/>
    </row>
    <row r="613" spans="1:12" ht="15" x14ac:dyDescent="0.25">
      <c r="A613" s="443"/>
      <c r="B613" s="251"/>
      <c r="C613" s="238"/>
      <c r="D613" s="254"/>
      <c r="E613" s="222">
        <v>2016</v>
      </c>
      <c r="F613" s="157">
        <f t="shared" si="112"/>
        <v>180</v>
      </c>
      <c r="G613" s="7"/>
      <c r="H613" s="7"/>
      <c r="I613" s="7">
        <v>180</v>
      </c>
      <c r="J613" s="14"/>
      <c r="K613" s="240"/>
    </row>
    <row r="614" spans="1:12" ht="15" x14ac:dyDescent="0.25">
      <c r="A614" s="443"/>
      <c r="B614" s="251"/>
      <c r="C614" s="238"/>
      <c r="D614" s="254"/>
      <c r="E614" s="222">
        <v>2017</v>
      </c>
      <c r="F614" s="157">
        <f t="shared" si="112"/>
        <v>0</v>
      </c>
      <c r="G614" s="7"/>
      <c r="H614" s="7"/>
      <c r="I614" s="7">
        <v>0</v>
      </c>
      <c r="J614" s="14"/>
      <c r="K614" s="240"/>
      <c r="L614" s="99"/>
    </row>
    <row r="615" spans="1:12" ht="15" x14ac:dyDescent="0.25">
      <c r="A615" s="443"/>
      <c r="B615" s="251"/>
      <c r="C615" s="238"/>
      <c r="D615" s="254"/>
      <c r="E615" s="222">
        <v>2018</v>
      </c>
      <c r="F615" s="157">
        <f t="shared" si="112"/>
        <v>0</v>
      </c>
      <c r="G615" s="7"/>
      <c r="H615" s="7"/>
      <c r="I615" s="7">
        <v>0</v>
      </c>
      <c r="J615" s="14"/>
      <c r="K615" s="240"/>
      <c r="L615" s="99"/>
    </row>
    <row r="616" spans="1:12" ht="15" x14ac:dyDescent="0.25">
      <c r="A616" s="443"/>
      <c r="B616" s="251"/>
      <c r="C616" s="238"/>
      <c r="D616" s="254"/>
      <c r="E616" s="222">
        <v>2019</v>
      </c>
      <c r="F616" s="157">
        <f t="shared" si="112"/>
        <v>0</v>
      </c>
      <c r="G616" s="7"/>
      <c r="H616" s="7"/>
      <c r="I616" s="7">
        <v>0</v>
      </c>
      <c r="J616" s="14"/>
      <c r="K616" s="240"/>
      <c r="L616" s="99"/>
    </row>
    <row r="617" spans="1:12" ht="15" x14ac:dyDescent="0.25">
      <c r="A617" s="443"/>
      <c r="B617" s="251"/>
      <c r="C617" s="238"/>
      <c r="D617" s="254"/>
      <c r="E617" s="222">
        <v>2020</v>
      </c>
      <c r="F617" s="157">
        <f t="shared" si="112"/>
        <v>0</v>
      </c>
      <c r="G617" s="7"/>
      <c r="H617" s="7"/>
      <c r="I617" s="7">
        <v>0</v>
      </c>
      <c r="J617" s="14"/>
      <c r="K617" s="240"/>
    </row>
    <row r="618" spans="1:12" ht="32.25" customHeight="1" x14ac:dyDescent="0.2">
      <c r="A618" s="443"/>
      <c r="B618" s="309"/>
      <c r="C618" s="238"/>
      <c r="D618" s="282"/>
      <c r="E618" s="18" t="s">
        <v>18</v>
      </c>
      <c r="F618" s="158">
        <f>SUM(F612:F617)</f>
        <v>330</v>
      </c>
      <c r="G618" s="8"/>
      <c r="H618" s="8"/>
      <c r="I618" s="8">
        <f>SUM(I612:I617)</f>
        <v>330</v>
      </c>
      <c r="J618" s="14"/>
      <c r="K618" s="240"/>
    </row>
    <row r="619" spans="1:12" ht="15" x14ac:dyDescent="0.25">
      <c r="A619" s="442" t="s">
        <v>81</v>
      </c>
      <c r="B619" s="251" t="s">
        <v>436</v>
      </c>
      <c r="C619" s="253" t="s">
        <v>413</v>
      </c>
      <c r="D619" s="239" t="s">
        <v>207</v>
      </c>
      <c r="E619" s="222">
        <v>2015</v>
      </c>
      <c r="F619" s="157">
        <f t="shared" ref="F619:F624" si="113">SUM(G619:I619)</f>
        <v>55</v>
      </c>
      <c r="G619" s="7"/>
      <c r="H619" s="7"/>
      <c r="I619" s="7">
        <v>55</v>
      </c>
      <c r="J619" s="14"/>
      <c r="K619" s="240"/>
    </row>
    <row r="620" spans="1:12" ht="15" x14ac:dyDescent="0.25">
      <c r="A620" s="443"/>
      <c r="B620" s="251"/>
      <c r="C620" s="254"/>
      <c r="D620" s="254"/>
      <c r="E620" s="222">
        <v>2016</v>
      </c>
      <c r="F620" s="157">
        <f t="shared" si="113"/>
        <v>57.4</v>
      </c>
      <c r="G620" s="7"/>
      <c r="H620" s="7"/>
      <c r="I620" s="7">
        <f>60-2.6</f>
        <v>57.4</v>
      </c>
      <c r="J620" s="14"/>
      <c r="K620" s="240"/>
      <c r="L620" s="99"/>
    </row>
    <row r="621" spans="1:12" ht="15" x14ac:dyDescent="0.25">
      <c r="A621" s="443"/>
      <c r="B621" s="251"/>
      <c r="C621" s="254"/>
      <c r="D621" s="254"/>
      <c r="E621" s="222">
        <v>2017</v>
      </c>
      <c r="F621" s="157">
        <f t="shared" si="113"/>
        <v>65</v>
      </c>
      <c r="G621" s="7"/>
      <c r="H621" s="7"/>
      <c r="I621" s="7">
        <v>65</v>
      </c>
      <c r="J621" s="14"/>
      <c r="K621" s="240"/>
      <c r="L621" s="99"/>
    </row>
    <row r="622" spans="1:12" ht="15" x14ac:dyDescent="0.25">
      <c r="A622" s="443"/>
      <c r="B622" s="251"/>
      <c r="C622" s="254"/>
      <c r="D622" s="254"/>
      <c r="E622" s="222">
        <v>2018</v>
      </c>
      <c r="F622" s="157">
        <f t="shared" si="113"/>
        <v>70</v>
      </c>
      <c r="G622" s="7"/>
      <c r="H622" s="7"/>
      <c r="I622" s="7">
        <v>70</v>
      </c>
      <c r="J622" s="14"/>
      <c r="K622" s="240"/>
      <c r="L622" s="99"/>
    </row>
    <row r="623" spans="1:12" ht="15" x14ac:dyDescent="0.25">
      <c r="A623" s="443"/>
      <c r="B623" s="251"/>
      <c r="C623" s="254"/>
      <c r="D623" s="254"/>
      <c r="E623" s="222">
        <v>2019</v>
      </c>
      <c r="F623" s="157">
        <f t="shared" si="113"/>
        <v>0</v>
      </c>
      <c r="G623" s="7"/>
      <c r="H623" s="7"/>
      <c r="I623" s="7">
        <v>0</v>
      </c>
      <c r="J623" s="14"/>
      <c r="K623" s="240"/>
      <c r="L623" s="99"/>
    </row>
    <row r="624" spans="1:12" ht="15" x14ac:dyDescent="0.25">
      <c r="A624" s="443"/>
      <c r="B624" s="251"/>
      <c r="C624" s="254"/>
      <c r="D624" s="254"/>
      <c r="E624" s="222">
        <v>2020</v>
      </c>
      <c r="F624" s="157">
        <f t="shared" si="113"/>
        <v>0</v>
      </c>
      <c r="G624" s="7"/>
      <c r="H624" s="7"/>
      <c r="I624" s="7">
        <v>0</v>
      </c>
      <c r="J624" s="14"/>
      <c r="K624" s="240"/>
    </row>
    <row r="625" spans="1:13" ht="15" x14ac:dyDescent="0.25">
      <c r="A625" s="443"/>
      <c r="B625" s="252"/>
      <c r="C625" s="254"/>
      <c r="D625" s="254"/>
      <c r="E625" s="222">
        <v>2021</v>
      </c>
      <c r="F625" s="157">
        <f t="shared" ref="F625" si="114">SUM(G625:I625)</f>
        <v>0</v>
      </c>
      <c r="G625" s="7"/>
      <c r="H625" s="7"/>
      <c r="I625" s="7">
        <v>0</v>
      </c>
      <c r="J625" s="14"/>
      <c r="K625" s="240"/>
    </row>
    <row r="626" spans="1:13" ht="14.25" x14ac:dyDescent="0.2">
      <c r="A626" s="443"/>
      <c r="B626" s="252"/>
      <c r="C626" s="254"/>
      <c r="D626" s="282"/>
      <c r="E626" s="18" t="s">
        <v>18</v>
      </c>
      <c r="F626" s="159">
        <f>SUM(F619:F624)</f>
        <v>247.4</v>
      </c>
      <c r="G626" s="8"/>
      <c r="H626" s="8"/>
      <c r="I626" s="8">
        <f>SUM(I619:I624)</f>
        <v>247.4</v>
      </c>
      <c r="J626" s="14"/>
      <c r="K626" s="241"/>
    </row>
    <row r="627" spans="1:13" ht="15" x14ac:dyDescent="0.25">
      <c r="A627" s="442" t="s">
        <v>82</v>
      </c>
      <c r="B627" s="251" t="s">
        <v>83</v>
      </c>
      <c r="C627" s="237" t="s">
        <v>413</v>
      </c>
      <c r="D627" s="239" t="s">
        <v>207</v>
      </c>
      <c r="E627" s="222">
        <v>2015</v>
      </c>
      <c r="F627" s="157">
        <f t="shared" ref="F627:F632" si="115">SUM(G627:I627)</f>
        <v>50</v>
      </c>
      <c r="G627" s="7"/>
      <c r="H627" s="7"/>
      <c r="I627" s="7">
        <v>50</v>
      </c>
      <c r="J627" s="14"/>
      <c r="K627" s="239" t="s">
        <v>160</v>
      </c>
    </row>
    <row r="628" spans="1:13" ht="15" x14ac:dyDescent="0.25">
      <c r="A628" s="443"/>
      <c r="B628" s="294"/>
      <c r="C628" s="238"/>
      <c r="D628" s="254"/>
      <c r="E628" s="222">
        <v>2016</v>
      </c>
      <c r="F628" s="157">
        <f t="shared" si="115"/>
        <v>32</v>
      </c>
      <c r="G628" s="7"/>
      <c r="H628" s="7"/>
      <c r="I628" s="7">
        <f>55-23</f>
        <v>32</v>
      </c>
      <c r="J628" s="14"/>
      <c r="K628" s="240"/>
      <c r="L628" s="99"/>
    </row>
    <row r="629" spans="1:13" ht="15" x14ac:dyDescent="0.25">
      <c r="A629" s="443"/>
      <c r="B629" s="294"/>
      <c r="C629" s="238"/>
      <c r="D629" s="254"/>
      <c r="E629" s="222">
        <v>2017</v>
      </c>
      <c r="F629" s="157">
        <f t="shared" si="115"/>
        <v>41.4</v>
      </c>
      <c r="G629" s="7"/>
      <c r="H629" s="7"/>
      <c r="I629" s="7">
        <v>41.4</v>
      </c>
      <c r="J629" s="14"/>
      <c r="K629" s="240"/>
      <c r="L629" s="99"/>
    </row>
    <row r="630" spans="1:13" ht="15" x14ac:dyDescent="0.25">
      <c r="A630" s="443"/>
      <c r="B630" s="294"/>
      <c r="C630" s="238"/>
      <c r="D630" s="254"/>
      <c r="E630" s="222">
        <v>2018</v>
      </c>
      <c r="F630" s="157">
        <f t="shared" si="115"/>
        <v>60.2</v>
      </c>
      <c r="G630" s="7"/>
      <c r="H630" s="7"/>
      <c r="I630" s="7">
        <f>65-4.8</f>
        <v>60.2</v>
      </c>
      <c r="J630" s="14"/>
      <c r="K630" s="240"/>
      <c r="L630" s="99"/>
    </row>
    <row r="631" spans="1:13" ht="15" x14ac:dyDescent="0.25">
      <c r="A631" s="443"/>
      <c r="B631" s="294"/>
      <c r="C631" s="238"/>
      <c r="D631" s="254"/>
      <c r="E631" s="222">
        <v>2019</v>
      </c>
      <c r="F631" s="157">
        <f t="shared" si="115"/>
        <v>0</v>
      </c>
      <c r="G631" s="7"/>
      <c r="H631" s="7"/>
      <c r="I631" s="7">
        <v>0</v>
      </c>
      <c r="J631" s="14"/>
      <c r="K631" s="240"/>
      <c r="L631" s="99"/>
    </row>
    <row r="632" spans="1:13" ht="15" x14ac:dyDescent="0.25">
      <c r="A632" s="443"/>
      <c r="B632" s="294"/>
      <c r="C632" s="238"/>
      <c r="D632" s="254"/>
      <c r="E632" s="222">
        <v>2020</v>
      </c>
      <c r="F632" s="157">
        <f t="shared" si="115"/>
        <v>0</v>
      </c>
      <c r="G632" s="7"/>
      <c r="H632" s="7"/>
      <c r="I632" s="7">
        <v>0</v>
      </c>
      <c r="J632" s="14"/>
      <c r="K632" s="240"/>
    </row>
    <row r="633" spans="1:13" ht="15" x14ac:dyDescent="0.25">
      <c r="A633" s="443"/>
      <c r="B633" s="294"/>
      <c r="C633" s="238"/>
      <c r="D633" s="254"/>
      <c r="E633" s="222">
        <v>2021</v>
      </c>
      <c r="F633" s="157">
        <f t="shared" ref="F633" si="116">SUM(G633:I633)</f>
        <v>0</v>
      </c>
      <c r="G633" s="7"/>
      <c r="H633" s="7"/>
      <c r="I633" s="7">
        <v>0</v>
      </c>
      <c r="J633" s="14"/>
      <c r="K633" s="240"/>
    </row>
    <row r="634" spans="1:13" ht="15" x14ac:dyDescent="0.25">
      <c r="A634" s="443"/>
      <c r="B634" s="294"/>
      <c r="C634" s="238"/>
      <c r="D634" s="282"/>
      <c r="E634" s="18" t="s">
        <v>18</v>
      </c>
      <c r="F634" s="159">
        <f>SUM(F627:F632)</f>
        <v>183.60000000000002</v>
      </c>
      <c r="G634" s="7"/>
      <c r="H634" s="7"/>
      <c r="I634" s="8">
        <f>SUM(I627:I632)</f>
        <v>183.60000000000002</v>
      </c>
      <c r="J634" s="14"/>
      <c r="K634" s="241"/>
    </row>
    <row r="635" spans="1:13" ht="16.5" customHeight="1" thickBot="1" x14ac:dyDescent="0.25">
      <c r="A635" s="286" t="s">
        <v>187</v>
      </c>
      <c r="B635" s="287"/>
      <c r="C635" s="446"/>
      <c r="D635" s="287"/>
      <c r="E635" s="6" t="s">
        <v>403</v>
      </c>
      <c r="F635" s="146">
        <f>F611+F618+F626+F634</f>
        <v>1567.9</v>
      </c>
      <c r="G635" s="146"/>
      <c r="H635" s="146">
        <f>H611+H618+H626+H634</f>
        <v>0</v>
      </c>
      <c r="I635" s="146">
        <f>I611+I618+I626+I634</f>
        <v>1567.9</v>
      </c>
      <c r="J635" s="17"/>
      <c r="K635" s="6"/>
      <c r="L635" s="126"/>
      <c r="M635" s="127"/>
    </row>
    <row r="636" spans="1:13" ht="15" thickBot="1" x14ac:dyDescent="0.25">
      <c r="A636" s="421" t="s">
        <v>188</v>
      </c>
      <c r="B636" s="422"/>
      <c r="C636" s="422"/>
      <c r="D636" s="422"/>
      <c r="E636" s="422"/>
      <c r="F636" s="422"/>
      <c r="G636" s="422"/>
      <c r="H636" s="422"/>
      <c r="I636" s="422"/>
      <c r="J636" s="422"/>
      <c r="K636" s="423"/>
    </row>
    <row r="637" spans="1:13" ht="12.75" customHeight="1" x14ac:dyDescent="0.25">
      <c r="A637" s="494" t="s">
        <v>145</v>
      </c>
      <c r="B637" s="235" t="s">
        <v>84</v>
      </c>
      <c r="C637" s="296" t="s">
        <v>405</v>
      </c>
      <c r="D637" s="239" t="s">
        <v>207</v>
      </c>
      <c r="E637" s="222">
        <v>2015</v>
      </c>
      <c r="F637" s="157">
        <f t="shared" ref="F637:F642" si="117">SUM(G637:I637)</f>
        <v>3623.3</v>
      </c>
      <c r="G637" s="7"/>
      <c r="H637" s="7">
        <f>3817-230</f>
        <v>3587</v>
      </c>
      <c r="I637" s="7">
        <f>38.6-2.3</f>
        <v>36.300000000000004</v>
      </c>
      <c r="J637" s="14"/>
      <c r="K637" s="239" t="s">
        <v>161</v>
      </c>
    </row>
    <row r="638" spans="1:13" ht="15" x14ac:dyDescent="0.25">
      <c r="A638" s="495"/>
      <c r="B638" s="349"/>
      <c r="C638" s="254"/>
      <c r="D638" s="254"/>
      <c r="E638" s="222">
        <v>2016</v>
      </c>
      <c r="F638" s="157">
        <f t="shared" si="117"/>
        <v>27.8</v>
      </c>
      <c r="G638" s="7"/>
      <c r="H638" s="7">
        <v>0</v>
      </c>
      <c r="I638" s="7">
        <v>27.8</v>
      </c>
      <c r="J638" s="14"/>
      <c r="K638" s="240"/>
    </row>
    <row r="639" spans="1:13" ht="15" x14ac:dyDescent="0.25">
      <c r="A639" s="495"/>
      <c r="B639" s="349"/>
      <c r="C639" s="254"/>
      <c r="D639" s="254"/>
      <c r="E639" s="222">
        <v>2017</v>
      </c>
      <c r="F639" s="157">
        <f t="shared" si="117"/>
        <v>0</v>
      </c>
      <c r="G639" s="7"/>
      <c r="H639" s="7">
        <v>0</v>
      </c>
      <c r="I639" s="7">
        <v>0</v>
      </c>
      <c r="J639" s="14"/>
      <c r="K639" s="240"/>
      <c r="L639" s="99"/>
    </row>
    <row r="640" spans="1:13" ht="15" x14ac:dyDescent="0.25">
      <c r="A640" s="495"/>
      <c r="B640" s="349"/>
      <c r="C640" s="254"/>
      <c r="D640" s="254"/>
      <c r="E640" s="222">
        <v>2018</v>
      </c>
      <c r="F640" s="157">
        <f t="shared" si="117"/>
        <v>0</v>
      </c>
      <c r="G640" s="7"/>
      <c r="H640" s="7">
        <f>1605-1605</f>
        <v>0</v>
      </c>
      <c r="I640" s="7">
        <v>0</v>
      </c>
      <c r="J640" s="14"/>
      <c r="K640" s="240"/>
      <c r="L640" s="99"/>
    </row>
    <row r="641" spans="1:13" ht="15" x14ac:dyDescent="0.25">
      <c r="A641" s="495"/>
      <c r="B641" s="349"/>
      <c r="C641" s="254"/>
      <c r="D641" s="254"/>
      <c r="E641" s="222">
        <v>2019</v>
      </c>
      <c r="F641" s="157">
        <f t="shared" si="117"/>
        <v>8080.8</v>
      </c>
      <c r="G641" s="7"/>
      <c r="H641" s="7">
        <v>8000</v>
      </c>
      <c r="I641" s="7">
        <v>80.8</v>
      </c>
      <c r="J641" s="14"/>
      <c r="K641" s="240"/>
      <c r="L641" s="99"/>
    </row>
    <row r="642" spans="1:13" ht="15" x14ac:dyDescent="0.25">
      <c r="A642" s="495"/>
      <c r="B642" s="349"/>
      <c r="C642" s="254"/>
      <c r="D642" s="254"/>
      <c r="E642" s="222">
        <v>2020</v>
      </c>
      <c r="F642" s="157">
        <f t="shared" si="117"/>
        <v>2424.3000000000002</v>
      </c>
      <c r="G642" s="7"/>
      <c r="H642" s="7">
        <v>2400</v>
      </c>
      <c r="I642" s="7">
        <v>24.3</v>
      </c>
      <c r="J642" s="14"/>
      <c r="K642" s="240"/>
    </row>
    <row r="643" spans="1:13" ht="15" x14ac:dyDescent="0.25">
      <c r="A643" s="495"/>
      <c r="B643" s="349"/>
      <c r="C643" s="254"/>
      <c r="D643" s="254"/>
      <c r="E643" s="222">
        <v>2021</v>
      </c>
      <c r="F643" s="157">
        <f t="shared" ref="F643:F646" si="118">SUM(G643:I643)</f>
        <v>2424.3000000000002</v>
      </c>
      <c r="G643" s="7"/>
      <c r="H643" s="7">
        <v>2400</v>
      </c>
      <c r="I643" s="7">
        <v>24.3</v>
      </c>
      <c r="J643" s="14"/>
      <c r="K643" s="240"/>
      <c r="L643" s="99"/>
    </row>
    <row r="644" spans="1:13" ht="15" x14ac:dyDescent="0.25">
      <c r="A644" s="495"/>
      <c r="B644" s="349"/>
      <c r="C644" s="254"/>
      <c r="D644" s="254"/>
      <c r="E644" s="222">
        <v>2022</v>
      </c>
      <c r="F644" s="157">
        <f t="shared" si="118"/>
        <v>2424.3000000000002</v>
      </c>
      <c r="G644" s="7"/>
      <c r="H644" s="7">
        <v>2400</v>
      </c>
      <c r="I644" s="7">
        <v>24.3</v>
      </c>
      <c r="J644" s="14"/>
      <c r="K644" s="240"/>
      <c r="L644" s="99"/>
    </row>
    <row r="645" spans="1:13" ht="15" x14ac:dyDescent="0.25">
      <c r="A645" s="495"/>
      <c r="B645" s="349"/>
      <c r="C645" s="254"/>
      <c r="D645" s="254"/>
      <c r="E645" s="222">
        <v>2023</v>
      </c>
      <c r="F645" s="157">
        <f t="shared" si="118"/>
        <v>2535.3000000000002</v>
      </c>
      <c r="G645" s="7"/>
      <c r="H645" s="7">
        <v>2510</v>
      </c>
      <c r="I645" s="7">
        <v>25.3</v>
      </c>
      <c r="J645" s="14"/>
      <c r="K645" s="240"/>
      <c r="L645" s="99"/>
    </row>
    <row r="646" spans="1:13" ht="15" x14ac:dyDescent="0.25">
      <c r="A646" s="495"/>
      <c r="B646" s="349"/>
      <c r="C646" s="254"/>
      <c r="D646" s="254"/>
      <c r="E646" s="222">
        <v>2024</v>
      </c>
      <c r="F646" s="157">
        <f t="shared" si="118"/>
        <v>2637.3</v>
      </c>
      <c r="G646" s="7"/>
      <c r="H646" s="7">
        <v>2611</v>
      </c>
      <c r="I646" s="7">
        <v>26.3</v>
      </c>
      <c r="J646" s="14"/>
      <c r="K646" s="240"/>
    </row>
    <row r="647" spans="1:13" ht="15" x14ac:dyDescent="0.25">
      <c r="A647" s="495"/>
      <c r="B647" s="349"/>
      <c r="C647" s="254"/>
      <c r="D647" s="254"/>
      <c r="E647" s="222">
        <v>2025</v>
      </c>
      <c r="F647" s="157">
        <f t="shared" ref="F647" si="119">SUM(G647:I647)</f>
        <v>2758.4</v>
      </c>
      <c r="G647" s="7"/>
      <c r="H647" s="7">
        <v>2731</v>
      </c>
      <c r="I647" s="7">
        <v>27.4</v>
      </c>
      <c r="J647" s="14"/>
      <c r="K647" s="240"/>
    </row>
    <row r="648" spans="1:13" ht="15" thickBot="1" x14ac:dyDescent="0.25">
      <c r="A648" s="496"/>
      <c r="B648" s="349"/>
      <c r="C648" s="312"/>
      <c r="D648" s="282"/>
      <c r="E648" s="18" t="s">
        <v>18</v>
      </c>
      <c r="F648" s="159">
        <f>SUM(F637:F647)</f>
        <v>26935.8</v>
      </c>
      <c r="G648" s="8"/>
      <c r="H648" s="8">
        <f>SUM(H637:H647)</f>
        <v>26639</v>
      </c>
      <c r="I648" s="8">
        <f>SUM(I637:I647)</f>
        <v>296.8</v>
      </c>
      <c r="J648" s="14"/>
      <c r="K648" s="241"/>
    </row>
    <row r="649" spans="1:13" ht="15.75" customHeight="1" thickBot="1" x14ac:dyDescent="0.25">
      <c r="A649" s="286" t="s">
        <v>189</v>
      </c>
      <c r="B649" s="287"/>
      <c r="C649" s="287"/>
      <c r="D649" s="287"/>
      <c r="E649" s="136" t="s">
        <v>403</v>
      </c>
      <c r="F649" s="158">
        <f>SUM(F637:F647)</f>
        <v>26935.8</v>
      </c>
      <c r="G649" s="147"/>
      <c r="H649" s="8">
        <f>SUM(H637:H647)</f>
        <v>26639</v>
      </c>
      <c r="I649" s="8">
        <f>SUM(I637:I647)</f>
        <v>296.8</v>
      </c>
      <c r="J649" s="17"/>
      <c r="K649" s="6"/>
      <c r="L649" s="127"/>
      <c r="M649" s="127"/>
    </row>
    <row r="650" spans="1:13" ht="14.25" x14ac:dyDescent="0.2">
      <c r="A650" s="498" t="s">
        <v>298</v>
      </c>
      <c r="B650" s="499"/>
      <c r="C650" s="499"/>
      <c r="D650" s="499"/>
      <c r="E650" s="499"/>
      <c r="F650" s="499"/>
      <c r="G650" s="499"/>
      <c r="H650" s="499"/>
      <c r="I650" s="499"/>
      <c r="J650" s="499"/>
      <c r="K650" s="500"/>
    </row>
    <row r="651" spans="1:13" ht="12.75" customHeight="1" x14ac:dyDescent="0.25">
      <c r="A651" s="266" t="s">
        <v>147</v>
      </c>
      <c r="B651" s="235" t="s">
        <v>299</v>
      </c>
      <c r="C651" s="237" t="s">
        <v>414</v>
      </c>
      <c r="D651" s="283" t="s">
        <v>300</v>
      </c>
      <c r="E651" s="222">
        <v>2017</v>
      </c>
      <c r="F651" s="156">
        <f t="shared" ref="F651:F654" si="120">SUM(G651:I651)</f>
        <v>112768.40000000001</v>
      </c>
      <c r="G651" s="7"/>
      <c r="H651" s="7">
        <f>117683.6-4915.2</f>
        <v>112768.40000000001</v>
      </c>
      <c r="I651" s="7">
        <v>0</v>
      </c>
      <c r="J651" s="14"/>
      <c r="K651" s="444" t="s">
        <v>377</v>
      </c>
      <c r="L651" s="99" t="s">
        <v>333</v>
      </c>
    </row>
    <row r="652" spans="1:13" ht="15" x14ac:dyDescent="0.25">
      <c r="A652" s="267"/>
      <c r="B652" s="349"/>
      <c r="C652" s="238"/>
      <c r="D652" s="238"/>
      <c r="E652" s="222">
        <v>2018</v>
      </c>
      <c r="F652" s="156">
        <f t="shared" si="120"/>
        <v>111105</v>
      </c>
      <c r="G652" s="7"/>
      <c r="H652" s="7">
        <f>122021-10916</f>
        <v>111105</v>
      </c>
      <c r="I652" s="7">
        <v>0</v>
      </c>
      <c r="J652" s="14"/>
      <c r="K652" s="445"/>
    </row>
    <row r="653" spans="1:13" ht="15" x14ac:dyDescent="0.25">
      <c r="A653" s="267"/>
      <c r="B653" s="349"/>
      <c r="C653" s="238"/>
      <c r="D653" s="238"/>
      <c r="E653" s="222">
        <v>2019</v>
      </c>
      <c r="F653" s="156">
        <f t="shared" si="120"/>
        <v>115991.1</v>
      </c>
      <c r="G653" s="7"/>
      <c r="H653" s="7">
        <f>121381.5-868.2-4522.2</f>
        <v>115991.1</v>
      </c>
      <c r="I653" s="7">
        <f>27.6-27.6</f>
        <v>0</v>
      </c>
      <c r="J653" s="14"/>
      <c r="K653" s="445"/>
      <c r="L653" s="99"/>
    </row>
    <row r="654" spans="1:13" ht="15" x14ac:dyDescent="0.25">
      <c r="A654" s="267"/>
      <c r="B654" s="349"/>
      <c r="C654" s="238"/>
      <c r="D654" s="238"/>
      <c r="E654" s="222">
        <v>2020</v>
      </c>
      <c r="F654" s="156">
        <f t="shared" si="120"/>
        <v>117288.2</v>
      </c>
      <c r="G654" s="7"/>
      <c r="H654" s="7">
        <f>123400.2-6112</f>
        <v>117288.2</v>
      </c>
      <c r="I654" s="7">
        <v>0</v>
      </c>
      <c r="J654" s="14"/>
      <c r="K654" s="445"/>
    </row>
    <row r="655" spans="1:13" ht="12.75" customHeight="1" x14ac:dyDescent="0.25">
      <c r="A655" s="267"/>
      <c r="B655" s="349"/>
      <c r="C655" s="238"/>
      <c r="D655" s="238"/>
      <c r="E655" s="222">
        <v>2021</v>
      </c>
      <c r="F655" s="156">
        <f t="shared" ref="F655:F658" si="121">SUM(G655:I655)</f>
        <v>54289.7</v>
      </c>
      <c r="G655" s="7"/>
      <c r="H655" s="7">
        <f>127948.9-73659.2</f>
        <v>54289.7</v>
      </c>
      <c r="I655" s="7">
        <v>0</v>
      </c>
      <c r="J655" s="14"/>
      <c r="K655" s="445"/>
      <c r="L655" s="99" t="s">
        <v>333</v>
      </c>
    </row>
    <row r="656" spans="1:13" ht="15" x14ac:dyDescent="0.25">
      <c r="A656" s="267"/>
      <c r="B656" s="349"/>
      <c r="C656" s="238"/>
      <c r="D656" s="238"/>
      <c r="E656" s="222">
        <v>2022</v>
      </c>
      <c r="F656" s="156">
        <f t="shared" si="121"/>
        <v>59282.599999999991</v>
      </c>
      <c r="G656" s="7"/>
      <c r="H656" s="7">
        <f>134412.9-75130.3</f>
        <v>59282.599999999991</v>
      </c>
      <c r="I656" s="7">
        <v>0</v>
      </c>
      <c r="J656" s="14"/>
      <c r="K656" s="445"/>
    </row>
    <row r="657" spans="1:35" ht="15" x14ac:dyDescent="0.25">
      <c r="A657" s="267"/>
      <c r="B657" s="349"/>
      <c r="C657" s="238"/>
      <c r="D657" s="238"/>
      <c r="E657" s="222">
        <v>2023</v>
      </c>
      <c r="F657" s="156">
        <f t="shared" si="121"/>
        <v>140595.9</v>
      </c>
      <c r="G657" s="7"/>
      <c r="H657" s="7">
        <v>140595.9</v>
      </c>
      <c r="I657" s="7">
        <f>27.6-27.6</f>
        <v>0</v>
      </c>
      <c r="J657" s="14"/>
      <c r="K657" s="445"/>
      <c r="L657" s="99"/>
    </row>
    <row r="658" spans="1:35" ht="15" x14ac:dyDescent="0.25">
      <c r="A658" s="267"/>
      <c r="B658" s="349"/>
      <c r="C658" s="238"/>
      <c r="D658" s="238"/>
      <c r="E658" s="222">
        <v>2024</v>
      </c>
      <c r="F658" s="156">
        <f t="shared" si="121"/>
        <v>147063.29999999999</v>
      </c>
      <c r="G658" s="7"/>
      <c r="H658" s="7">
        <v>147063.29999999999</v>
      </c>
      <c r="I658" s="7">
        <v>0</v>
      </c>
      <c r="J658" s="14"/>
      <c r="K658" s="445"/>
    </row>
    <row r="659" spans="1:35" ht="15" x14ac:dyDescent="0.25">
      <c r="A659" s="267"/>
      <c r="B659" s="349"/>
      <c r="C659" s="238"/>
      <c r="D659" s="238"/>
      <c r="E659" s="222">
        <v>2025</v>
      </c>
      <c r="F659" s="156">
        <f t="shared" ref="F659" si="122">SUM(G659:I659)</f>
        <v>153828.20000000001</v>
      </c>
      <c r="G659" s="7"/>
      <c r="H659" s="7">
        <v>153828.20000000001</v>
      </c>
      <c r="I659" s="7">
        <v>0</v>
      </c>
      <c r="J659" s="14"/>
      <c r="K659" s="445"/>
    </row>
    <row r="660" spans="1:35" ht="14.25" x14ac:dyDescent="0.2">
      <c r="A660" s="267"/>
      <c r="B660" s="349"/>
      <c r="C660" s="238"/>
      <c r="D660" s="238"/>
      <c r="E660" s="18" t="s">
        <v>18</v>
      </c>
      <c r="F660" s="140">
        <f>SUM(F651:F659)</f>
        <v>1012212.3999999999</v>
      </c>
      <c r="G660" s="8"/>
      <c r="H660" s="8">
        <f>SUM(H651:H659)</f>
        <v>1012212.3999999999</v>
      </c>
      <c r="I660" s="8">
        <f>SUM(I651:I654)</f>
        <v>0</v>
      </c>
      <c r="J660" s="14"/>
      <c r="K660" s="445"/>
    </row>
    <row r="661" spans="1:35" ht="16.5" customHeight="1" thickBot="1" x14ac:dyDescent="0.25">
      <c r="A661" s="400" t="s">
        <v>209</v>
      </c>
      <c r="B661" s="446"/>
      <c r="C661" s="446"/>
      <c r="D661" s="446"/>
      <c r="E661" s="100" t="s">
        <v>404</v>
      </c>
      <c r="F661" s="181">
        <f>SUM(F651:F659)</f>
        <v>1012212.3999999999</v>
      </c>
      <c r="G661" s="176"/>
      <c r="H661" s="154">
        <f>SUM(H651:H659)</f>
        <v>1012212.3999999999</v>
      </c>
      <c r="I661" s="154">
        <f>SUM(I651:I654)</f>
        <v>0</v>
      </c>
      <c r="J661" s="177"/>
      <c r="K661" s="100"/>
      <c r="L661" s="126"/>
      <c r="M661" s="127"/>
    </row>
    <row r="662" spans="1:35" ht="48" customHeight="1" thickBot="1" x14ac:dyDescent="0.3">
      <c r="A662" s="227" t="s">
        <v>191</v>
      </c>
      <c r="B662" s="228"/>
      <c r="C662" s="228"/>
      <c r="D662" s="229"/>
      <c r="E662" s="182" t="s">
        <v>403</v>
      </c>
      <c r="F662" s="182" t="s">
        <v>18</v>
      </c>
      <c r="G662" s="183" t="s">
        <v>10</v>
      </c>
      <c r="H662" s="184" t="s">
        <v>11</v>
      </c>
      <c r="I662" s="184" t="s">
        <v>12</v>
      </c>
      <c r="J662" s="184" t="s">
        <v>13</v>
      </c>
      <c r="K662" s="185"/>
      <c r="L662" s="131"/>
      <c r="M662" s="132"/>
      <c r="N662" s="68"/>
    </row>
    <row r="663" spans="1:35" ht="16.5" thickBot="1" x14ac:dyDescent="0.3">
      <c r="A663" s="230"/>
      <c r="B663" s="231"/>
      <c r="C663" s="231"/>
      <c r="D663" s="232"/>
      <c r="E663" s="178"/>
      <c r="F663" s="149">
        <f>SUM(G663:J663)</f>
        <v>1804119.9999999995</v>
      </c>
      <c r="G663" s="179"/>
      <c r="H663" s="180">
        <f>H649+H635+H597+H565+H502+H661</f>
        <v>1040275.3999999999</v>
      </c>
      <c r="I663" s="180">
        <f>I649+I635+I597+I565+I502+I661</f>
        <v>763844.59999999974</v>
      </c>
      <c r="J663" s="180">
        <f>J649+J635+J597+J565+J502+J661</f>
        <v>0</v>
      </c>
      <c r="K663" s="103"/>
      <c r="L663" s="36"/>
      <c r="M663" s="36"/>
      <c r="N663" s="36"/>
    </row>
    <row r="664" spans="1:35" ht="18.75" customHeight="1" thickBot="1" x14ac:dyDescent="0.25">
      <c r="A664" s="435" t="s">
        <v>192</v>
      </c>
      <c r="B664" s="436"/>
      <c r="C664" s="436"/>
      <c r="D664" s="436"/>
      <c r="E664" s="436"/>
      <c r="F664" s="436"/>
      <c r="G664" s="436"/>
      <c r="H664" s="436"/>
      <c r="I664" s="436"/>
      <c r="J664" s="436"/>
      <c r="K664" s="437"/>
      <c r="L664" s="69"/>
      <c r="M664" s="69"/>
      <c r="N664" s="69"/>
    </row>
    <row r="665" spans="1:35" ht="30" customHeight="1" x14ac:dyDescent="0.2">
      <c r="A665" s="293" t="s">
        <v>193</v>
      </c>
      <c r="B665" s="309"/>
      <c r="C665" s="309"/>
      <c r="D665" s="309"/>
      <c r="E665" s="294"/>
      <c r="F665" s="294"/>
      <c r="G665" s="294"/>
      <c r="H665" s="294"/>
      <c r="I665" s="294"/>
      <c r="J665" s="294"/>
      <c r="K665" s="294"/>
      <c r="L665" s="70"/>
      <c r="M665" s="70"/>
      <c r="N665" s="70"/>
      <c r="O665" s="70"/>
      <c r="P665" s="70"/>
      <c r="Q665" s="70"/>
      <c r="R665" s="70"/>
      <c r="S665" s="70"/>
      <c r="T665" s="70"/>
      <c r="U665" s="70"/>
      <c r="V665" s="70"/>
      <c r="W665" s="70"/>
      <c r="X665" s="70"/>
      <c r="Y665" s="70"/>
      <c r="Z665" s="70"/>
      <c r="AA665" s="70"/>
      <c r="AB665" s="70"/>
      <c r="AC665" s="70"/>
      <c r="AD665" s="70"/>
      <c r="AE665" s="70"/>
      <c r="AF665" s="70"/>
      <c r="AG665" s="70"/>
      <c r="AH665" s="70"/>
      <c r="AI665" s="71"/>
    </row>
    <row r="666" spans="1:35" ht="15" x14ac:dyDescent="0.25">
      <c r="A666" s="310" t="s">
        <v>101</v>
      </c>
      <c r="B666" s="497" t="s">
        <v>85</v>
      </c>
      <c r="C666" s="296" t="s">
        <v>405</v>
      </c>
      <c r="D666" s="239" t="s">
        <v>207</v>
      </c>
      <c r="E666" s="222">
        <v>2015</v>
      </c>
      <c r="F666" s="157">
        <f t="shared" ref="F666:F671" si="123">SUM(G666:J666)</f>
        <v>1923.3999999999999</v>
      </c>
      <c r="G666" s="7"/>
      <c r="H666" s="7">
        <f>2020.6-97.2</f>
        <v>1923.3999999999999</v>
      </c>
      <c r="I666" s="14"/>
      <c r="J666" s="14"/>
      <c r="K666" s="239" t="s">
        <v>162</v>
      </c>
    </row>
    <row r="667" spans="1:35" ht="15" x14ac:dyDescent="0.25">
      <c r="A667" s="307"/>
      <c r="B667" s="484"/>
      <c r="C667" s="254"/>
      <c r="D667" s="254"/>
      <c r="E667" s="222">
        <v>2016</v>
      </c>
      <c r="F667" s="157">
        <f t="shared" si="123"/>
        <v>2072.6</v>
      </c>
      <c r="G667" s="7"/>
      <c r="H667" s="7">
        <f>2072.6</f>
        <v>2072.6</v>
      </c>
      <c r="I667" s="14"/>
      <c r="J667" s="14"/>
      <c r="K667" s="240"/>
      <c r="L667" s="99"/>
    </row>
    <row r="668" spans="1:35" ht="15" x14ac:dyDescent="0.25">
      <c r="A668" s="307"/>
      <c r="B668" s="484"/>
      <c r="C668" s="254"/>
      <c r="D668" s="254"/>
      <c r="E668" s="222">
        <v>2017</v>
      </c>
      <c r="F668" s="157">
        <f t="shared" si="123"/>
        <v>1468.9</v>
      </c>
      <c r="G668" s="7"/>
      <c r="H668" s="7">
        <f>1919.7-116.3-334.5</f>
        <v>1468.9</v>
      </c>
      <c r="I668" s="14"/>
      <c r="J668" s="14"/>
      <c r="K668" s="240"/>
      <c r="L668" s="99" t="s">
        <v>328</v>
      </c>
      <c r="M668" s="106"/>
    </row>
    <row r="669" spans="1:35" ht="15" x14ac:dyDescent="0.25">
      <c r="A669" s="307"/>
      <c r="B669" s="484"/>
      <c r="C669" s="254"/>
      <c r="D669" s="254"/>
      <c r="E669" s="222">
        <v>2018</v>
      </c>
      <c r="F669" s="157">
        <f t="shared" si="123"/>
        <v>1163.5999999999999</v>
      </c>
      <c r="G669" s="7"/>
      <c r="H669" s="7">
        <f>1342.6-179</f>
        <v>1163.5999999999999</v>
      </c>
      <c r="I669" s="14"/>
      <c r="J669" s="14"/>
      <c r="K669" s="240"/>
      <c r="L669" s="99"/>
      <c r="M669" s="106"/>
    </row>
    <row r="670" spans="1:35" ht="15" x14ac:dyDescent="0.25">
      <c r="A670" s="307"/>
      <c r="B670" s="484"/>
      <c r="C670" s="254"/>
      <c r="D670" s="254"/>
      <c r="E670" s="222">
        <v>2019</v>
      </c>
      <c r="F670" s="157">
        <f t="shared" si="123"/>
        <v>872.7</v>
      </c>
      <c r="G670" s="7"/>
      <c r="H670" s="7">
        <f>1221.7-349</f>
        <v>872.7</v>
      </c>
      <c r="I670" s="14"/>
      <c r="J670" s="14"/>
      <c r="K670" s="240"/>
      <c r="L670" s="99"/>
      <c r="M670" s="106"/>
    </row>
    <row r="671" spans="1:35" ht="15" x14ac:dyDescent="0.25">
      <c r="A671" s="307"/>
      <c r="B671" s="484"/>
      <c r="C671" s="254"/>
      <c r="D671" s="254"/>
      <c r="E671" s="222">
        <v>2020</v>
      </c>
      <c r="F671" s="157">
        <f t="shared" si="123"/>
        <v>872.7</v>
      </c>
      <c r="G671" s="7"/>
      <c r="H671" s="7">
        <f>1221.7-349</f>
        <v>872.7</v>
      </c>
      <c r="I671" s="14"/>
      <c r="J671" s="14"/>
      <c r="K671" s="240"/>
    </row>
    <row r="672" spans="1:35" ht="15" x14ac:dyDescent="0.25">
      <c r="A672" s="307"/>
      <c r="B672" s="484"/>
      <c r="C672" s="254"/>
      <c r="D672" s="254"/>
      <c r="E672" s="222">
        <v>2021</v>
      </c>
      <c r="F672" s="157">
        <f t="shared" ref="F672:F676" si="124">SUM(G672:J672)</f>
        <v>872.7</v>
      </c>
      <c r="G672" s="7"/>
      <c r="H672" s="7">
        <f>1221.7-349</f>
        <v>872.7</v>
      </c>
      <c r="I672" s="14"/>
      <c r="J672" s="14"/>
      <c r="K672" s="240"/>
      <c r="L672" s="99"/>
    </row>
    <row r="673" spans="1:13" ht="15" x14ac:dyDescent="0.25">
      <c r="A673" s="307"/>
      <c r="B673" s="484"/>
      <c r="C673" s="254"/>
      <c r="D673" s="254"/>
      <c r="E673" s="222">
        <v>2022</v>
      </c>
      <c r="F673" s="157">
        <f t="shared" si="124"/>
        <v>872.7</v>
      </c>
      <c r="G673" s="7"/>
      <c r="H673" s="7">
        <f>1300-427.3</f>
        <v>872.7</v>
      </c>
      <c r="I673" s="14"/>
      <c r="J673" s="14"/>
      <c r="K673" s="240"/>
      <c r="L673" s="99" t="s">
        <v>328</v>
      </c>
      <c r="M673" s="106"/>
    </row>
    <row r="674" spans="1:13" ht="15" x14ac:dyDescent="0.25">
      <c r="A674" s="307"/>
      <c r="B674" s="484"/>
      <c r="C674" s="254"/>
      <c r="D674" s="254"/>
      <c r="E674" s="222">
        <v>2023</v>
      </c>
      <c r="F674" s="157">
        <f t="shared" si="124"/>
        <v>1360</v>
      </c>
      <c r="G674" s="7"/>
      <c r="H674" s="7">
        <v>1360</v>
      </c>
      <c r="I674" s="14"/>
      <c r="J674" s="14"/>
      <c r="K674" s="240"/>
      <c r="L674" s="99"/>
      <c r="M674" s="106"/>
    </row>
    <row r="675" spans="1:13" ht="15" x14ac:dyDescent="0.25">
      <c r="A675" s="307"/>
      <c r="B675" s="484"/>
      <c r="C675" s="254"/>
      <c r="D675" s="254"/>
      <c r="E675" s="222">
        <v>2024</v>
      </c>
      <c r="F675" s="157">
        <f t="shared" si="124"/>
        <v>1423</v>
      </c>
      <c r="G675" s="7"/>
      <c r="H675" s="7">
        <v>1423</v>
      </c>
      <c r="I675" s="14"/>
      <c r="J675" s="14"/>
      <c r="K675" s="240"/>
      <c r="L675" s="99"/>
      <c r="M675" s="106"/>
    </row>
    <row r="676" spans="1:13" ht="15" x14ac:dyDescent="0.25">
      <c r="A676" s="307"/>
      <c r="B676" s="484"/>
      <c r="C676" s="254"/>
      <c r="D676" s="254"/>
      <c r="E676" s="222">
        <v>2025</v>
      </c>
      <c r="F676" s="157">
        <f t="shared" si="124"/>
        <v>1488</v>
      </c>
      <c r="G676" s="7"/>
      <c r="H676" s="7">
        <v>1488</v>
      </c>
      <c r="I676" s="14"/>
      <c r="J676" s="14"/>
      <c r="K676" s="240"/>
    </row>
    <row r="677" spans="1:13" ht="18.75" customHeight="1" x14ac:dyDescent="0.2">
      <c r="A677" s="307"/>
      <c r="B677" s="484"/>
      <c r="C677" s="282"/>
      <c r="D677" s="282"/>
      <c r="E677" s="18" t="s">
        <v>18</v>
      </c>
      <c r="F677" s="158">
        <f>SUM(F666:F676)</f>
        <v>14390.300000000001</v>
      </c>
      <c r="G677" s="8"/>
      <c r="H677" s="8">
        <f>SUM(H666:H676)</f>
        <v>14390.300000000001</v>
      </c>
      <c r="I677" s="14"/>
      <c r="J677" s="14"/>
      <c r="K677" s="240"/>
    </row>
    <row r="678" spans="1:13" ht="15" x14ac:dyDescent="0.25">
      <c r="A678" s="310" t="s">
        <v>103</v>
      </c>
      <c r="B678" s="235" t="s">
        <v>86</v>
      </c>
      <c r="C678" s="296" t="s">
        <v>405</v>
      </c>
      <c r="D678" s="239" t="s">
        <v>207</v>
      </c>
      <c r="E678" s="222">
        <v>2015</v>
      </c>
      <c r="F678" s="157">
        <f t="shared" ref="F678:F683" si="125">SUM(G678:J678)</f>
        <v>759.90000000000009</v>
      </c>
      <c r="G678" s="7"/>
      <c r="H678" s="7">
        <f>783-27.3+4.2</f>
        <v>759.90000000000009</v>
      </c>
      <c r="I678" s="7"/>
      <c r="J678" s="14"/>
      <c r="K678" s="240"/>
    </row>
    <row r="679" spans="1:13" ht="15" x14ac:dyDescent="0.25">
      <c r="A679" s="307"/>
      <c r="B679" s="320"/>
      <c r="C679" s="254"/>
      <c r="D679" s="254"/>
      <c r="E679" s="222">
        <v>2016</v>
      </c>
      <c r="F679" s="157">
        <f t="shared" si="125"/>
        <v>753.4</v>
      </c>
      <c r="G679" s="7"/>
      <c r="H679" s="7">
        <f>753.4</f>
        <v>753.4</v>
      </c>
      <c r="I679" s="7"/>
      <c r="J679" s="14"/>
      <c r="K679" s="240"/>
      <c r="L679" s="99"/>
    </row>
    <row r="680" spans="1:13" ht="15" x14ac:dyDescent="0.25">
      <c r="A680" s="307"/>
      <c r="B680" s="320"/>
      <c r="C680" s="254"/>
      <c r="D680" s="254"/>
      <c r="E680" s="222">
        <v>2017</v>
      </c>
      <c r="F680" s="157">
        <f t="shared" si="125"/>
        <v>425.09999999999997</v>
      </c>
      <c r="G680" s="7"/>
      <c r="H680" s="7">
        <f>671.9-162.8-84</f>
        <v>425.09999999999997</v>
      </c>
      <c r="I680" s="7"/>
      <c r="J680" s="14"/>
      <c r="K680" s="240"/>
      <c r="L680" s="118" t="s">
        <v>329</v>
      </c>
      <c r="M680" s="106"/>
    </row>
    <row r="681" spans="1:13" ht="15" x14ac:dyDescent="0.25">
      <c r="A681" s="307"/>
      <c r="B681" s="320"/>
      <c r="C681" s="254"/>
      <c r="D681" s="254"/>
      <c r="E681" s="222">
        <v>2018</v>
      </c>
      <c r="F681" s="157">
        <f t="shared" si="125"/>
        <v>381.2</v>
      </c>
      <c r="G681" s="7"/>
      <c r="H681" s="7">
        <f>476.5-95.3</f>
        <v>381.2</v>
      </c>
      <c r="I681" s="7"/>
      <c r="J681" s="14"/>
      <c r="K681" s="240"/>
      <c r="L681" s="99"/>
      <c r="M681" s="106"/>
    </row>
    <row r="682" spans="1:13" ht="15" x14ac:dyDescent="0.25">
      <c r="A682" s="307"/>
      <c r="B682" s="320"/>
      <c r="C682" s="254"/>
      <c r="D682" s="254"/>
      <c r="E682" s="222">
        <v>2019</v>
      </c>
      <c r="F682" s="157">
        <f t="shared" si="125"/>
        <v>397.6</v>
      </c>
      <c r="G682" s="7"/>
      <c r="H682" s="7">
        <v>397.6</v>
      </c>
      <c r="I682" s="7"/>
      <c r="J682" s="14"/>
      <c r="K682" s="240"/>
      <c r="L682" s="99"/>
      <c r="M682" s="106"/>
    </row>
    <row r="683" spans="1:13" ht="15" x14ac:dyDescent="0.25">
      <c r="A683" s="307"/>
      <c r="B683" s="320"/>
      <c r="C683" s="254"/>
      <c r="D683" s="254"/>
      <c r="E683" s="222">
        <v>2020</v>
      </c>
      <c r="F683" s="157">
        <f t="shared" si="125"/>
        <v>409.5</v>
      </c>
      <c r="G683" s="7"/>
      <c r="H683" s="7">
        <f>411.5-2</f>
        <v>409.5</v>
      </c>
      <c r="I683" s="7"/>
      <c r="J683" s="14"/>
      <c r="K683" s="240"/>
    </row>
    <row r="684" spans="1:13" ht="15" x14ac:dyDescent="0.25">
      <c r="A684" s="307"/>
      <c r="B684" s="287"/>
      <c r="C684" s="254"/>
      <c r="D684" s="254"/>
      <c r="E684" s="222">
        <v>2021</v>
      </c>
      <c r="F684" s="157">
        <f t="shared" ref="F684:F688" si="126">SUM(G684:J684)</f>
        <v>425.8</v>
      </c>
      <c r="G684" s="7"/>
      <c r="H684" s="7">
        <f>429.2-3.4</f>
        <v>425.8</v>
      </c>
      <c r="I684" s="7"/>
      <c r="J684" s="14"/>
      <c r="K684" s="240"/>
    </row>
    <row r="685" spans="1:13" ht="15" x14ac:dyDescent="0.25">
      <c r="A685" s="307"/>
      <c r="B685" s="287"/>
      <c r="C685" s="254"/>
      <c r="D685" s="254"/>
      <c r="E685" s="222">
        <v>2022</v>
      </c>
      <c r="F685" s="157">
        <f t="shared" si="126"/>
        <v>442.9</v>
      </c>
      <c r="G685" s="7"/>
      <c r="H685" s="7">
        <f>500-57.1</f>
        <v>442.9</v>
      </c>
      <c r="I685" s="7"/>
      <c r="J685" s="14"/>
      <c r="K685" s="240"/>
      <c r="L685" s="99"/>
    </row>
    <row r="686" spans="1:13" ht="15" x14ac:dyDescent="0.25">
      <c r="A686" s="307"/>
      <c r="B686" s="287"/>
      <c r="C686" s="254"/>
      <c r="D686" s="254"/>
      <c r="E686" s="222">
        <v>2023</v>
      </c>
      <c r="F686" s="157">
        <f t="shared" si="126"/>
        <v>523</v>
      </c>
      <c r="G686" s="7"/>
      <c r="H686" s="7">
        <v>523</v>
      </c>
      <c r="I686" s="7"/>
      <c r="J686" s="14"/>
      <c r="K686" s="240"/>
      <c r="L686" s="118" t="s">
        <v>329</v>
      </c>
      <c r="M686" s="106"/>
    </row>
    <row r="687" spans="1:13" ht="15" x14ac:dyDescent="0.25">
      <c r="A687" s="307"/>
      <c r="B687" s="287"/>
      <c r="C687" s="254"/>
      <c r="D687" s="254"/>
      <c r="E687" s="222">
        <v>2024</v>
      </c>
      <c r="F687" s="157">
        <f t="shared" si="126"/>
        <v>547</v>
      </c>
      <c r="G687" s="7"/>
      <c r="H687" s="7">
        <v>547</v>
      </c>
      <c r="I687" s="7"/>
      <c r="J687" s="14"/>
      <c r="K687" s="240"/>
      <c r="L687" s="99"/>
      <c r="M687" s="106"/>
    </row>
    <row r="688" spans="1:13" ht="15" x14ac:dyDescent="0.25">
      <c r="A688" s="307"/>
      <c r="B688" s="287"/>
      <c r="C688" s="254"/>
      <c r="D688" s="254"/>
      <c r="E688" s="222">
        <v>2025</v>
      </c>
      <c r="F688" s="157">
        <f t="shared" si="126"/>
        <v>572</v>
      </c>
      <c r="G688" s="7"/>
      <c r="H688" s="7">
        <v>572</v>
      </c>
      <c r="I688" s="7"/>
      <c r="J688" s="14"/>
      <c r="K688" s="240"/>
      <c r="L688" s="99"/>
      <c r="M688" s="106"/>
    </row>
    <row r="689" spans="1:19" ht="14.25" x14ac:dyDescent="0.2">
      <c r="A689" s="307"/>
      <c r="B689" s="287"/>
      <c r="C689" s="254"/>
      <c r="D689" s="282"/>
      <c r="E689" s="18" t="s">
        <v>18</v>
      </c>
      <c r="F689" s="159">
        <f>SUM(F678:F688)</f>
        <v>5637.4</v>
      </c>
      <c r="G689" s="8"/>
      <c r="H689" s="8">
        <f>SUM(H678:H688)</f>
        <v>5637.4</v>
      </c>
      <c r="I689" s="8"/>
      <c r="J689" s="13"/>
      <c r="K689" s="240"/>
    </row>
    <row r="690" spans="1:19" ht="15" x14ac:dyDescent="0.25">
      <c r="A690" s="310" t="s">
        <v>105</v>
      </c>
      <c r="B690" s="235" t="s">
        <v>87</v>
      </c>
      <c r="C690" s="296" t="s">
        <v>413</v>
      </c>
      <c r="D690" s="239" t="s">
        <v>207</v>
      </c>
      <c r="E690" s="222">
        <v>2015</v>
      </c>
      <c r="F690" s="157">
        <f t="shared" ref="F690:F695" si="127">SUM(G690:J690)</f>
        <v>285</v>
      </c>
      <c r="G690" s="7"/>
      <c r="H690" s="7"/>
      <c r="I690" s="7">
        <v>285</v>
      </c>
      <c r="J690" s="14"/>
      <c r="K690" s="240"/>
    </row>
    <row r="691" spans="1:19" ht="15" x14ac:dyDescent="0.25">
      <c r="A691" s="307"/>
      <c r="B691" s="320"/>
      <c r="C691" s="254"/>
      <c r="D691" s="254"/>
      <c r="E691" s="222">
        <v>2016</v>
      </c>
      <c r="F691" s="157">
        <f t="shared" si="127"/>
        <v>229.59999999999997</v>
      </c>
      <c r="G691" s="7"/>
      <c r="H691" s="7"/>
      <c r="I691" s="7">
        <f>281.4-51.8</f>
        <v>229.59999999999997</v>
      </c>
      <c r="J691" s="14"/>
      <c r="K691" s="240"/>
      <c r="L691" s="99"/>
    </row>
    <row r="692" spans="1:19" ht="15" x14ac:dyDescent="0.25">
      <c r="A692" s="307"/>
      <c r="B692" s="320"/>
      <c r="C692" s="254"/>
      <c r="D692" s="254"/>
      <c r="E692" s="222">
        <v>2017</v>
      </c>
      <c r="F692" s="157">
        <f t="shared" si="127"/>
        <v>225.6</v>
      </c>
      <c r="G692" s="7"/>
      <c r="H692" s="7"/>
      <c r="I692" s="7">
        <v>225.6</v>
      </c>
      <c r="J692" s="14"/>
      <c r="K692" s="240"/>
      <c r="L692" s="99"/>
    </row>
    <row r="693" spans="1:19" ht="15" x14ac:dyDescent="0.25">
      <c r="A693" s="307"/>
      <c r="B693" s="320"/>
      <c r="C693" s="254"/>
      <c r="D693" s="254"/>
      <c r="E693" s="222">
        <v>2018</v>
      </c>
      <c r="F693" s="157">
        <f t="shared" si="127"/>
        <v>220.6</v>
      </c>
      <c r="G693" s="7"/>
      <c r="H693" s="7"/>
      <c r="I693" s="7">
        <v>220.6</v>
      </c>
      <c r="J693" s="14"/>
      <c r="K693" s="240"/>
      <c r="L693" s="99"/>
    </row>
    <row r="694" spans="1:19" ht="15" x14ac:dyDescent="0.25">
      <c r="A694" s="307"/>
      <c r="B694" s="320"/>
      <c r="C694" s="254"/>
      <c r="D694" s="254"/>
      <c r="E694" s="222">
        <v>2019</v>
      </c>
      <c r="F694" s="157">
        <f t="shared" si="127"/>
        <v>197.3</v>
      </c>
      <c r="G694" s="7"/>
      <c r="H694" s="7"/>
      <c r="I694" s="7">
        <f>215.1-17.7-0.1</f>
        <v>197.3</v>
      </c>
      <c r="J694" s="14"/>
      <c r="K694" s="240"/>
    </row>
    <row r="695" spans="1:19" ht="15" x14ac:dyDescent="0.25">
      <c r="A695" s="307"/>
      <c r="B695" s="320"/>
      <c r="C695" s="254"/>
      <c r="D695" s="254"/>
      <c r="E695" s="222">
        <v>2020</v>
      </c>
      <c r="F695" s="157">
        <f t="shared" si="127"/>
        <v>173.1</v>
      </c>
      <c r="G695" s="7"/>
      <c r="H695" s="7"/>
      <c r="I695" s="7">
        <v>173.1</v>
      </c>
      <c r="J695" s="14"/>
      <c r="K695" s="240"/>
    </row>
    <row r="696" spans="1:19" ht="15" x14ac:dyDescent="0.25">
      <c r="A696" s="307"/>
      <c r="B696" s="287"/>
      <c r="C696" s="254"/>
      <c r="D696" s="254"/>
      <c r="E696" s="222">
        <v>2021</v>
      </c>
      <c r="F696" s="157">
        <f t="shared" ref="F696" si="128">SUM(G696:J696)</f>
        <v>0</v>
      </c>
      <c r="G696" s="7"/>
      <c r="H696" s="7"/>
      <c r="I696" s="7">
        <v>0</v>
      </c>
      <c r="J696" s="14"/>
      <c r="K696" s="240"/>
    </row>
    <row r="697" spans="1:19" ht="60.75" customHeight="1" x14ac:dyDescent="0.2">
      <c r="A697" s="307"/>
      <c r="B697" s="287"/>
      <c r="C697" s="254"/>
      <c r="D697" s="282"/>
      <c r="E697" s="18" t="s">
        <v>18</v>
      </c>
      <c r="F697" s="158">
        <f>SUM(F690:F695)</f>
        <v>1331.1999999999998</v>
      </c>
      <c r="G697" s="8"/>
      <c r="H697" s="8"/>
      <c r="I697" s="8">
        <f>SUM(I690:I695)</f>
        <v>1331.1999999999998</v>
      </c>
      <c r="J697" s="13"/>
      <c r="K697" s="240"/>
    </row>
    <row r="698" spans="1:19" ht="12.75" customHeight="1" x14ac:dyDescent="0.25">
      <c r="A698" s="310" t="s">
        <v>106</v>
      </c>
      <c r="B698" s="251" t="s">
        <v>382</v>
      </c>
      <c r="C698" s="296" t="s">
        <v>405</v>
      </c>
      <c r="D698" s="239" t="s">
        <v>384</v>
      </c>
      <c r="E698" s="222">
        <v>2015</v>
      </c>
      <c r="F698" s="157">
        <f t="shared" ref="F698:F703" si="129">SUM(G698:I698)</f>
        <v>7143.2</v>
      </c>
      <c r="G698" s="7"/>
      <c r="H698" s="7">
        <f>7797.5+70.5-920.2-88.1</f>
        <v>6859.7</v>
      </c>
      <c r="I698" s="7">
        <v>283.5</v>
      </c>
      <c r="J698" s="14"/>
      <c r="K698" s="240"/>
    </row>
    <row r="699" spans="1:19" ht="15" x14ac:dyDescent="0.25">
      <c r="A699" s="307"/>
      <c r="B699" s="294"/>
      <c r="C699" s="254"/>
      <c r="D699" s="240"/>
      <c r="E699" s="222">
        <v>2016</v>
      </c>
      <c r="F699" s="157">
        <f t="shared" si="129"/>
        <v>6232.8</v>
      </c>
      <c r="G699" s="7"/>
      <c r="H699" s="7">
        <f>9160.9-998.2-2081</f>
        <v>6081.7</v>
      </c>
      <c r="I699" s="7">
        <f>296.8-145.7</f>
        <v>151.10000000000002</v>
      </c>
      <c r="J699" s="14"/>
      <c r="K699" s="240"/>
      <c r="L699" s="99"/>
      <c r="P699" s="99" t="s">
        <v>330</v>
      </c>
      <c r="S699" s="99" t="s">
        <v>332</v>
      </c>
    </row>
    <row r="700" spans="1:19" ht="15" x14ac:dyDescent="0.25">
      <c r="A700" s="307"/>
      <c r="B700" s="294"/>
      <c r="C700" s="254"/>
      <c r="D700" s="240"/>
      <c r="E700" s="222">
        <v>2017</v>
      </c>
      <c r="F700" s="157">
        <f t="shared" si="129"/>
        <v>6749.2000000000007</v>
      </c>
      <c r="G700" s="7"/>
      <c r="H700" s="7">
        <f>7964.8-97.5-1311.7</f>
        <v>6555.6</v>
      </c>
      <c r="I700" s="7">
        <f>225.6-32</f>
        <v>193.6</v>
      </c>
      <c r="J700" s="14"/>
      <c r="K700" s="240"/>
      <c r="L700" s="99" t="s">
        <v>362</v>
      </c>
      <c r="M700" s="106"/>
      <c r="N700" s="106"/>
      <c r="O700" s="107">
        <f>H700-S700</f>
        <v>-1311.6999999999998</v>
      </c>
      <c r="P700" s="122">
        <f>7130.3+680.4</f>
        <v>7810.7</v>
      </c>
      <c r="Q700" s="121" t="s">
        <v>331</v>
      </c>
      <c r="R700" s="112">
        <v>56.6</v>
      </c>
      <c r="S700" s="123">
        <f>P700+R700</f>
        <v>7867.3</v>
      </c>
    </row>
    <row r="701" spans="1:19" ht="15" x14ac:dyDescent="0.25">
      <c r="A701" s="307"/>
      <c r="B701" s="294"/>
      <c r="C701" s="254"/>
      <c r="D701" s="240"/>
      <c r="E701" s="222">
        <v>2018</v>
      </c>
      <c r="F701" s="157">
        <f t="shared" si="129"/>
        <v>6869.5</v>
      </c>
      <c r="G701" s="7"/>
      <c r="H701" s="7">
        <f>7889.6-1217.8</f>
        <v>6671.8</v>
      </c>
      <c r="I701" s="7">
        <f>61+211.7-75</f>
        <v>197.7</v>
      </c>
      <c r="J701" s="14"/>
      <c r="K701" s="240"/>
      <c r="L701" s="99"/>
      <c r="M701" s="106"/>
      <c r="N701" s="106"/>
    </row>
    <row r="702" spans="1:19" ht="15" x14ac:dyDescent="0.25">
      <c r="A702" s="307"/>
      <c r="B702" s="294"/>
      <c r="C702" s="254"/>
      <c r="D702" s="240"/>
      <c r="E702" s="222">
        <v>2019</v>
      </c>
      <c r="F702" s="157">
        <f t="shared" si="129"/>
        <v>7573.3</v>
      </c>
      <c r="G702" s="7"/>
      <c r="H702" s="7">
        <f>7354+196.1-249.5</f>
        <v>7300.6</v>
      </c>
      <c r="I702" s="7">
        <v>272.7</v>
      </c>
      <c r="J702" s="14"/>
      <c r="K702" s="240"/>
      <c r="M702" s="106"/>
      <c r="N702" s="106"/>
    </row>
    <row r="703" spans="1:19" ht="15" x14ac:dyDescent="0.25">
      <c r="A703" s="307"/>
      <c r="B703" s="294"/>
      <c r="C703" s="254"/>
      <c r="D703" s="240"/>
      <c r="E703" s="222">
        <v>2020</v>
      </c>
      <c r="F703" s="157">
        <f t="shared" si="129"/>
        <v>7333.3</v>
      </c>
      <c r="G703" s="7"/>
      <c r="H703" s="7">
        <f>7354-293.4</f>
        <v>7060.6</v>
      </c>
      <c r="I703" s="7">
        <v>272.7</v>
      </c>
      <c r="J703" s="14"/>
      <c r="K703" s="240"/>
    </row>
    <row r="704" spans="1:19" ht="15" x14ac:dyDescent="0.25">
      <c r="A704" s="308"/>
      <c r="B704" s="309"/>
      <c r="C704" s="254"/>
      <c r="D704" s="240"/>
      <c r="E704" s="222">
        <v>2021</v>
      </c>
      <c r="F704" s="157">
        <f t="shared" ref="F704:F708" si="130">SUM(G704:I704)</f>
        <v>7333.3</v>
      </c>
      <c r="G704" s="7"/>
      <c r="H704" s="7">
        <f>7354-293.4</f>
        <v>7060.6</v>
      </c>
      <c r="I704" s="7">
        <v>272.7</v>
      </c>
      <c r="J704" s="14"/>
      <c r="K704" s="240"/>
      <c r="L704" s="99"/>
      <c r="P704" s="99" t="s">
        <v>330</v>
      </c>
      <c r="S704" s="99" t="s">
        <v>332</v>
      </c>
    </row>
    <row r="705" spans="1:35" ht="15" x14ac:dyDescent="0.25">
      <c r="A705" s="308"/>
      <c r="B705" s="309"/>
      <c r="C705" s="254"/>
      <c r="D705" s="240"/>
      <c r="E705" s="222">
        <v>2022</v>
      </c>
      <c r="F705" s="157">
        <f t="shared" si="130"/>
        <v>7060.6</v>
      </c>
      <c r="G705" s="7"/>
      <c r="H705" s="7">
        <f>8000-939.4</f>
        <v>7060.6</v>
      </c>
      <c r="I705" s="7">
        <f>283.6-283.6</f>
        <v>0</v>
      </c>
      <c r="J705" s="14"/>
      <c r="K705" s="240"/>
      <c r="L705" s="99" t="s">
        <v>362</v>
      </c>
      <c r="M705" s="106"/>
      <c r="N705" s="106"/>
      <c r="O705" s="107">
        <f>H705-S705</f>
        <v>-806.69999999999982</v>
      </c>
      <c r="P705" s="122">
        <f>7130.3+680.4</f>
        <v>7810.7</v>
      </c>
      <c r="Q705" s="121" t="s">
        <v>331</v>
      </c>
      <c r="R705" s="112">
        <v>56.6</v>
      </c>
      <c r="S705" s="123">
        <f>P705+R705</f>
        <v>7867.3</v>
      </c>
    </row>
    <row r="706" spans="1:35" ht="15" x14ac:dyDescent="0.25">
      <c r="A706" s="308"/>
      <c r="B706" s="309"/>
      <c r="C706" s="254"/>
      <c r="D706" s="240"/>
      <c r="E706" s="222">
        <v>2023</v>
      </c>
      <c r="F706" s="157">
        <f t="shared" si="130"/>
        <v>8662.9</v>
      </c>
      <c r="G706" s="7"/>
      <c r="H706" s="7">
        <v>8368</v>
      </c>
      <c r="I706" s="7">
        <v>294.89999999999998</v>
      </c>
      <c r="J706" s="14"/>
      <c r="K706" s="240"/>
      <c r="L706" s="99"/>
      <c r="M706" s="106"/>
      <c r="N706" s="106"/>
    </row>
    <row r="707" spans="1:35" ht="15" x14ac:dyDescent="0.25">
      <c r="A707" s="308"/>
      <c r="B707" s="309"/>
      <c r="C707" s="254"/>
      <c r="D707" s="240"/>
      <c r="E707" s="222">
        <v>2024</v>
      </c>
      <c r="F707" s="157">
        <f t="shared" si="130"/>
        <v>9059.7000000000007</v>
      </c>
      <c r="G707" s="7"/>
      <c r="H707" s="7">
        <v>8753</v>
      </c>
      <c r="I707" s="7">
        <v>306.7</v>
      </c>
      <c r="J707" s="14"/>
      <c r="K707" s="240"/>
      <c r="M707" s="106"/>
      <c r="N707" s="106"/>
    </row>
    <row r="708" spans="1:35" ht="15" x14ac:dyDescent="0.25">
      <c r="A708" s="308"/>
      <c r="B708" s="309"/>
      <c r="C708" s="254"/>
      <c r="D708" s="240"/>
      <c r="E708" s="222">
        <v>2025</v>
      </c>
      <c r="F708" s="157">
        <f t="shared" si="130"/>
        <v>9475</v>
      </c>
      <c r="G708" s="7"/>
      <c r="H708" s="7">
        <v>9156</v>
      </c>
      <c r="I708" s="7">
        <v>319</v>
      </c>
      <c r="J708" s="14"/>
      <c r="K708" s="240"/>
    </row>
    <row r="709" spans="1:35" ht="35.25" customHeight="1" thickBot="1" x14ac:dyDescent="0.25">
      <c r="A709" s="308"/>
      <c r="B709" s="309"/>
      <c r="C709" s="254"/>
      <c r="D709" s="240"/>
      <c r="E709" s="26" t="s">
        <v>18</v>
      </c>
      <c r="F709" s="186">
        <f>SUM(F698:F708)</f>
        <v>83492.800000000003</v>
      </c>
      <c r="G709" s="9"/>
      <c r="H709" s="9">
        <f>SUM(H698:H708)</f>
        <v>80928.2</v>
      </c>
      <c r="I709" s="9">
        <f>SUM(I698:I708)</f>
        <v>2564.6</v>
      </c>
      <c r="J709" s="22"/>
      <c r="K709" s="240"/>
    </row>
    <row r="710" spans="1:35" ht="18" customHeight="1" thickBot="1" x14ac:dyDescent="0.25">
      <c r="A710" s="419" t="s">
        <v>194</v>
      </c>
      <c r="B710" s="420"/>
      <c r="C710" s="420"/>
      <c r="D710" s="420"/>
      <c r="E710" s="93" t="s">
        <v>403</v>
      </c>
      <c r="F710" s="149">
        <f>F677+F689+F697+F709</f>
        <v>104851.70000000001</v>
      </c>
      <c r="G710" s="149">
        <f>G677+G689+G697+G709</f>
        <v>0</v>
      </c>
      <c r="H710" s="149">
        <f>H677+H689+H697+H709</f>
        <v>100955.9</v>
      </c>
      <c r="I710" s="149">
        <f>I677+I689+I697+I709</f>
        <v>3895.7999999999997</v>
      </c>
      <c r="J710" s="94"/>
      <c r="K710" s="95"/>
      <c r="L710" s="126"/>
      <c r="M710" s="127"/>
    </row>
    <row r="711" spans="1:35" ht="27" customHeight="1" thickBot="1" x14ac:dyDescent="0.25">
      <c r="A711" s="421" t="s">
        <v>195</v>
      </c>
      <c r="B711" s="422"/>
      <c r="C711" s="422"/>
      <c r="D711" s="422"/>
      <c r="E711" s="422"/>
      <c r="F711" s="422"/>
      <c r="G711" s="422"/>
      <c r="H711" s="422"/>
      <c r="I711" s="422"/>
      <c r="J711" s="422"/>
      <c r="K711" s="423"/>
      <c r="L711" s="63"/>
      <c r="M711" s="63"/>
      <c r="N711" s="63"/>
      <c r="O711" s="63"/>
      <c r="P711" s="63"/>
      <c r="Q711" s="63"/>
      <c r="R711" s="63"/>
      <c r="S711" s="63"/>
      <c r="T711" s="63"/>
      <c r="U711" s="63"/>
      <c r="V711" s="63"/>
      <c r="W711" s="63"/>
      <c r="X711" s="63"/>
      <c r="Y711" s="63"/>
      <c r="Z711" s="63"/>
      <c r="AA711" s="63"/>
      <c r="AB711" s="63"/>
      <c r="AC711" s="63"/>
      <c r="AD711" s="63"/>
      <c r="AE711" s="63"/>
      <c r="AF711" s="63"/>
      <c r="AG711" s="63"/>
      <c r="AH711" s="63"/>
      <c r="AI711" s="64"/>
    </row>
    <row r="712" spans="1:35" ht="15" thickBot="1" x14ac:dyDescent="0.25">
      <c r="A712" s="421" t="s">
        <v>196</v>
      </c>
      <c r="B712" s="422"/>
      <c r="C712" s="422"/>
      <c r="D712" s="422"/>
      <c r="E712" s="422"/>
      <c r="F712" s="422"/>
      <c r="G712" s="422"/>
      <c r="H712" s="422"/>
      <c r="I712" s="422"/>
      <c r="J712" s="422"/>
      <c r="K712" s="423"/>
    </row>
    <row r="713" spans="1:35" ht="15" x14ac:dyDescent="0.25">
      <c r="A713" s="310" t="s">
        <v>64</v>
      </c>
      <c r="B713" s="251" t="s">
        <v>88</v>
      </c>
      <c r="C713" s="237" t="s">
        <v>403</v>
      </c>
      <c r="D713" s="392" t="s">
        <v>207</v>
      </c>
      <c r="E713" s="222">
        <v>2015</v>
      </c>
      <c r="F713" s="157">
        <f t="shared" ref="F713:F718" si="131">SUM(G713:I713)</f>
        <v>45</v>
      </c>
      <c r="G713" s="7"/>
      <c r="H713" s="7"/>
      <c r="I713" s="7">
        <v>45</v>
      </c>
      <c r="J713" s="14"/>
      <c r="K713" s="392" t="s">
        <v>163</v>
      </c>
    </row>
    <row r="714" spans="1:35" ht="15" x14ac:dyDescent="0.25">
      <c r="A714" s="307"/>
      <c r="B714" s="294"/>
      <c r="C714" s="238"/>
      <c r="D714" s="254"/>
      <c r="E714" s="222">
        <v>2016</v>
      </c>
      <c r="F714" s="157">
        <f t="shared" si="131"/>
        <v>47</v>
      </c>
      <c r="G714" s="7"/>
      <c r="H714" s="7"/>
      <c r="I714" s="7">
        <v>47</v>
      </c>
      <c r="J714" s="14"/>
      <c r="K714" s="240"/>
    </row>
    <row r="715" spans="1:35" ht="15" x14ac:dyDescent="0.25">
      <c r="A715" s="307"/>
      <c r="B715" s="294"/>
      <c r="C715" s="238"/>
      <c r="D715" s="254"/>
      <c r="E715" s="222">
        <v>2017</v>
      </c>
      <c r="F715" s="157">
        <f t="shared" si="131"/>
        <v>0</v>
      </c>
      <c r="G715" s="7"/>
      <c r="H715" s="7"/>
      <c r="I715" s="7">
        <f>42-42</f>
        <v>0</v>
      </c>
      <c r="J715" s="14"/>
      <c r="K715" s="240"/>
      <c r="L715" s="99"/>
    </row>
    <row r="716" spans="1:35" ht="15" x14ac:dyDescent="0.25">
      <c r="A716" s="307"/>
      <c r="B716" s="294"/>
      <c r="C716" s="238"/>
      <c r="D716" s="254"/>
      <c r="E716" s="222">
        <v>2018</v>
      </c>
      <c r="F716" s="157">
        <f t="shared" si="131"/>
        <v>60</v>
      </c>
      <c r="G716" s="7"/>
      <c r="H716" s="7"/>
      <c r="I716" s="7">
        <f>51+9</f>
        <v>60</v>
      </c>
      <c r="J716" s="14"/>
      <c r="K716" s="240"/>
      <c r="L716" s="106"/>
    </row>
    <row r="717" spans="1:35" ht="15" x14ac:dyDescent="0.25">
      <c r="A717" s="307"/>
      <c r="B717" s="294"/>
      <c r="C717" s="238"/>
      <c r="D717" s="254"/>
      <c r="E717" s="222">
        <v>2019</v>
      </c>
      <c r="F717" s="157">
        <f t="shared" si="131"/>
        <v>150</v>
      </c>
      <c r="G717" s="7"/>
      <c r="H717" s="7"/>
      <c r="I717" s="7">
        <f>135+15</f>
        <v>150</v>
      </c>
      <c r="J717" s="14"/>
      <c r="K717" s="240"/>
      <c r="L717" s="99"/>
    </row>
    <row r="718" spans="1:35" ht="15" x14ac:dyDescent="0.25">
      <c r="A718" s="307"/>
      <c r="B718" s="294"/>
      <c r="C718" s="238"/>
      <c r="D718" s="254"/>
      <c r="E718" s="222">
        <v>2020</v>
      </c>
      <c r="F718" s="157">
        <f t="shared" si="131"/>
        <v>140</v>
      </c>
      <c r="G718" s="7"/>
      <c r="H718" s="7"/>
      <c r="I718" s="7">
        <f>135+5</f>
        <v>140</v>
      </c>
      <c r="J718" s="14"/>
      <c r="K718" s="240"/>
    </row>
    <row r="719" spans="1:35" ht="15" x14ac:dyDescent="0.25">
      <c r="A719" s="307"/>
      <c r="B719" s="294"/>
      <c r="C719" s="238"/>
      <c r="D719" s="254"/>
      <c r="E719" s="222">
        <v>2021</v>
      </c>
      <c r="F719" s="157">
        <f t="shared" ref="F719:F723" si="132">SUM(G719:I719)</f>
        <v>0</v>
      </c>
      <c r="G719" s="7"/>
      <c r="H719" s="7"/>
      <c r="I719" s="7">
        <f>135-135</f>
        <v>0</v>
      </c>
      <c r="J719" s="14"/>
      <c r="K719" s="240"/>
    </row>
    <row r="720" spans="1:35" ht="15" x14ac:dyDescent="0.25">
      <c r="A720" s="307"/>
      <c r="B720" s="294"/>
      <c r="C720" s="238"/>
      <c r="D720" s="254"/>
      <c r="E720" s="222">
        <v>2022</v>
      </c>
      <c r="F720" s="157">
        <f t="shared" si="132"/>
        <v>0</v>
      </c>
      <c r="G720" s="7"/>
      <c r="H720" s="7"/>
      <c r="I720" s="7">
        <f>135-135</f>
        <v>0</v>
      </c>
      <c r="J720" s="14"/>
      <c r="K720" s="240"/>
      <c r="L720" s="99"/>
    </row>
    <row r="721" spans="1:12" ht="15" x14ac:dyDescent="0.25">
      <c r="A721" s="307"/>
      <c r="B721" s="294"/>
      <c r="C721" s="238"/>
      <c r="D721" s="254"/>
      <c r="E721" s="222">
        <v>2023</v>
      </c>
      <c r="F721" s="157">
        <f t="shared" si="132"/>
        <v>135</v>
      </c>
      <c r="G721" s="7"/>
      <c r="H721" s="7"/>
      <c r="I721" s="7">
        <v>135</v>
      </c>
      <c r="J721" s="14"/>
      <c r="K721" s="240"/>
      <c r="L721" s="106"/>
    </row>
    <row r="722" spans="1:12" ht="15" x14ac:dyDescent="0.25">
      <c r="A722" s="307"/>
      <c r="B722" s="294"/>
      <c r="C722" s="238"/>
      <c r="D722" s="254"/>
      <c r="E722" s="222">
        <v>2024</v>
      </c>
      <c r="F722" s="157">
        <f t="shared" si="132"/>
        <v>135</v>
      </c>
      <c r="G722" s="7"/>
      <c r="H722" s="7"/>
      <c r="I722" s="7">
        <v>135</v>
      </c>
      <c r="J722" s="14"/>
      <c r="K722" s="240"/>
      <c r="L722" s="99"/>
    </row>
    <row r="723" spans="1:12" ht="15" x14ac:dyDescent="0.25">
      <c r="A723" s="307"/>
      <c r="B723" s="294"/>
      <c r="C723" s="238"/>
      <c r="D723" s="254"/>
      <c r="E723" s="222">
        <v>2025</v>
      </c>
      <c r="F723" s="157">
        <f t="shared" si="132"/>
        <v>135</v>
      </c>
      <c r="G723" s="7"/>
      <c r="H723" s="7"/>
      <c r="I723" s="7">
        <v>135</v>
      </c>
      <c r="J723" s="14"/>
      <c r="K723" s="240"/>
    </row>
    <row r="724" spans="1:12" ht="14.25" x14ac:dyDescent="0.2">
      <c r="A724" s="307"/>
      <c r="B724" s="294"/>
      <c r="C724" s="238"/>
      <c r="D724" s="282"/>
      <c r="E724" s="18" t="s">
        <v>18</v>
      </c>
      <c r="F724" s="159">
        <f>SUM(F713:F723)</f>
        <v>847</v>
      </c>
      <c r="G724" s="8"/>
      <c r="H724" s="8"/>
      <c r="I724" s="8">
        <f>SUM(I713:I723)</f>
        <v>847</v>
      </c>
      <c r="J724" s="14"/>
      <c r="K724" s="241"/>
    </row>
    <row r="725" spans="1:12" ht="15" x14ac:dyDescent="0.25">
      <c r="A725" s="311" t="s">
        <v>274</v>
      </c>
      <c r="B725" s="251" t="s">
        <v>415</v>
      </c>
      <c r="C725" s="237" t="s">
        <v>403</v>
      </c>
      <c r="D725" s="239" t="s">
        <v>207</v>
      </c>
      <c r="E725" s="222">
        <v>2015</v>
      </c>
      <c r="F725" s="157">
        <f t="shared" ref="F725:F730" si="133">I725</f>
        <v>12</v>
      </c>
      <c r="G725" s="7"/>
      <c r="H725" s="7"/>
      <c r="I725" s="7">
        <v>12</v>
      </c>
      <c r="J725" s="14"/>
      <c r="K725" s="239" t="s">
        <v>164</v>
      </c>
    </row>
    <row r="726" spans="1:12" ht="15" x14ac:dyDescent="0.25">
      <c r="A726" s="277"/>
      <c r="B726" s="294"/>
      <c r="C726" s="238"/>
      <c r="D726" s="254"/>
      <c r="E726" s="222">
        <v>2016</v>
      </c>
      <c r="F726" s="157">
        <f t="shared" si="133"/>
        <v>12.5</v>
      </c>
      <c r="G726" s="7"/>
      <c r="H726" s="7"/>
      <c r="I726" s="7">
        <v>12.5</v>
      </c>
      <c r="J726" s="14"/>
      <c r="K726" s="240"/>
    </row>
    <row r="727" spans="1:12" ht="15" x14ac:dyDescent="0.25">
      <c r="A727" s="277"/>
      <c r="B727" s="294"/>
      <c r="C727" s="238"/>
      <c r="D727" s="254"/>
      <c r="E727" s="222">
        <v>2017</v>
      </c>
      <c r="F727" s="157">
        <f t="shared" si="133"/>
        <v>0</v>
      </c>
      <c r="G727" s="7"/>
      <c r="H727" s="7"/>
      <c r="I727" s="7">
        <f>9.3-9.3</f>
        <v>0</v>
      </c>
      <c r="J727" s="14"/>
      <c r="K727" s="240"/>
      <c r="L727" s="106"/>
    </row>
    <row r="728" spans="1:12" ht="15" x14ac:dyDescent="0.25">
      <c r="A728" s="277"/>
      <c r="B728" s="294"/>
      <c r="C728" s="238"/>
      <c r="D728" s="254"/>
      <c r="E728" s="222">
        <v>2018</v>
      </c>
      <c r="F728" s="157">
        <f t="shared" si="133"/>
        <v>0</v>
      </c>
      <c r="G728" s="7"/>
      <c r="H728" s="7"/>
      <c r="I728" s="7">
        <v>0</v>
      </c>
      <c r="J728" s="14"/>
      <c r="K728" s="240"/>
      <c r="L728" s="99"/>
    </row>
    <row r="729" spans="1:12" ht="15" x14ac:dyDescent="0.25">
      <c r="A729" s="277"/>
      <c r="B729" s="294"/>
      <c r="C729" s="238"/>
      <c r="D729" s="254"/>
      <c r="E729" s="222">
        <v>2019</v>
      </c>
      <c r="F729" s="157">
        <f t="shared" si="133"/>
        <v>0</v>
      </c>
      <c r="G729" s="7"/>
      <c r="H729" s="7"/>
      <c r="I729" s="7">
        <f>14-14</f>
        <v>0</v>
      </c>
      <c r="J729" s="14"/>
      <c r="K729" s="240"/>
      <c r="L729" s="99"/>
    </row>
    <row r="730" spans="1:12" ht="15" x14ac:dyDescent="0.25">
      <c r="A730" s="277"/>
      <c r="B730" s="294"/>
      <c r="C730" s="238"/>
      <c r="D730" s="254"/>
      <c r="E730" s="222">
        <v>2020</v>
      </c>
      <c r="F730" s="157">
        <f t="shared" si="133"/>
        <v>14</v>
      </c>
      <c r="G730" s="7"/>
      <c r="H730" s="7"/>
      <c r="I730" s="7">
        <v>14</v>
      </c>
      <c r="J730" s="14"/>
      <c r="K730" s="240"/>
    </row>
    <row r="731" spans="1:12" ht="15" x14ac:dyDescent="0.25">
      <c r="A731" s="277"/>
      <c r="B731" s="294"/>
      <c r="C731" s="238"/>
      <c r="D731" s="254"/>
      <c r="E731" s="222">
        <v>2021</v>
      </c>
      <c r="F731" s="157">
        <f t="shared" ref="F731:F735" si="134">I731</f>
        <v>0</v>
      </c>
      <c r="G731" s="7"/>
      <c r="H731" s="7"/>
      <c r="I731" s="7">
        <f>14-14</f>
        <v>0</v>
      </c>
      <c r="J731" s="14"/>
      <c r="K731" s="240"/>
    </row>
    <row r="732" spans="1:12" ht="15" x14ac:dyDescent="0.25">
      <c r="A732" s="277"/>
      <c r="B732" s="294"/>
      <c r="C732" s="238"/>
      <c r="D732" s="254"/>
      <c r="E732" s="222">
        <v>2022</v>
      </c>
      <c r="F732" s="157">
        <f t="shared" si="134"/>
        <v>0</v>
      </c>
      <c r="G732" s="7"/>
      <c r="H732" s="7"/>
      <c r="I732" s="7">
        <f>14-14</f>
        <v>0</v>
      </c>
      <c r="J732" s="14"/>
      <c r="K732" s="240"/>
      <c r="L732" s="106"/>
    </row>
    <row r="733" spans="1:12" ht="15" x14ac:dyDescent="0.25">
      <c r="A733" s="277"/>
      <c r="B733" s="294"/>
      <c r="C733" s="238"/>
      <c r="D733" s="254"/>
      <c r="E733" s="222">
        <v>2023</v>
      </c>
      <c r="F733" s="157">
        <f t="shared" si="134"/>
        <v>14</v>
      </c>
      <c r="G733" s="7"/>
      <c r="H733" s="7"/>
      <c r="I733" s="7">
        <v>14</v>
      </c>
      <c r="J733" s="14"/>
      <c r="K733" s="240"/>
      <c r="L733" s="99"/>
    </row>
    <row r="734" spans="1:12" ht="15" x14ac:dyDescent="0.25">
      <c r="A734" s="277"/>
      <c r="B734" s="294"/>
      <c r="C734" s="238"/>
      <c r="D734" s="254"/>
      <c r="E734" s="222">
        <v>2024</v>
      </c>
      <c r="F734" s="157">
        <f t="shared" si="134"/>
        <v>14</v>
      </c>
      <c r="G734" s="7"/>
      <c r="H734" s="7"/>
      <c r="I734" s="7">
        <v>14</v>
      </c>
      <c r="J734" s="14"/>
      <c r="K734" s="240"/>
      <c r="L734" s="99"/>
    </row>
    <row r="735" spans="1:12" ht="15" x14ac:dyDescent="0.25">
      <c r="A735" s="277"/>
      <c r="B735" s="294"/>
      <c r="C735" s="238"/>
      <c r="D735" s="254"/>
      <c r="E735" s="222">
        <v>2025</v>
      </c>
      <c r="F735" s="157">
        <f t="shared" si="134"/>
        <v>14</v>
      </c>
      <c r="G735" s="7"/>
      <c r="H735" s="7"/>
      <c r="I735" s="7">
        <v>14</v>
      </c>
      <c r="J735" s="14"/>
      <c r="K735" s="240"/>
    </row>
    <row r="736" spans="1:12" ht="14.25" x14ac:dyDescent="0.2">
      <c r="A736" s="277"/>
      <c r="B736" s="294"/>
      <c r="C736" s="238"/>
      <c r="D736" s="282"/>
      <c r="E736" s="18" t="s">
        <v>18</v>
      </c>
      <c r="F736" s="159">
        <f>SUM(F725:F735)</f>
        <v>80.5</v>
      </c>
      <c r="G736" s="8"/>
      <c r="H736" s="8"/>
      <c r="I736" s="8">
        <f>SUM(I725:I735)</f>
        <v>80.5</v>
      </c>
      <c r="J736" s="14"/>
      <c r="K736" s="241"/>
    </row>
    <row r="737" spans="1:35" x14ac:dyDescent="0.2">
      <c r="A737" s="311" t="s">
        <v>282</v>
      </c>
      <c r="B737" s="251" t="s">
        <v>89</v>
      </c>
      <c r="C737" s="237" t="s">
        <v>61</v>
      </c>
      <c r="D737" s="239" t="s">
        <v>207</v>
      </c>
      <c r="E737" s="222">
        <v>2015</v>
      </c>
      <c r="F737" s="72"/>
      <c r="G737" s="2"/>
      <c r="H737" s="2"/>
      <c r="I737" s="2"/>
      <c r="J737" s="2"/>
      <c r="K737" s="239" t="s">
        <v>165</v>
      </c>
    </row>
    <row r="738" spans="1:35" x14ac:dyDescent="0.2">
      <c r="A738" s="277"/>
      <c r="B738" s="294"/>
      <c r="C738" s="238"/>
      <c r="D738" s="254"/>
      <c r="E738" s="222">
        <v>2016</v>
      </c>
      <c r="F738" s="72"/>
      <c r="G738" s="2"/>
      <c r="H738" s="2"/>
      <c r="I738" s="2"/>
      <c r="J738" s="2"/>
      <c r="K738" s="240"/>
    </row>
    <row r="739" spans="1:35" x14ac:dyDescent="0.2">
      <c r="A739" s="277"/>
      <c r="B739" s="294"/>
      <c r="C739" s="238"/>
      <c r="D739" s="254"/>
      <c r="E739" s="222">
        <v>2017</v>
      </c>
      <c r="F739" s="72"/>
      <c r="G739" s="2"/>
      <c r="H739" s="2"/>
      <c r="I739" s="2"/>
      <c r="J739" s="2"/>
      <c r="K739" s="240"/>
    </row>
    <row r="740" spans="1:35" x14ac:dyDescent="0.2">
      <c r="A740" s="277"/>
      <c r="B740" s="294"/>
      <c r="C740" s="238"/>
      <c r="D740" s="254"/>
      <c r="E740" s="222">
        <v>2018</v>
      </c>
      <c r="F740" s="72"/>
      <c r="G740" s="2"/>
      <c r="H740" s="2"/>
      <c r="I740" s="2"/>
      <c r="J740" s="2"/>
      <c r="K740" s="240"/>
      <c r="L740" s="106"/>
    </row>
    <row r="741" spans="1:35" x14ac:dyDescent="0.2">
      <c r="A741" s="277"/>
      <c r="B741" s="294"/>
      <c r="C741" s="238"/>
      <c r="D741" s="254"/>
      <c r="E741" s="222">
        <v>2019</v>
      </c>
      <c r="F741" s="72"/>
      <c r="G741" s="2"/>
      <c r="H741" s="2"/>
      <c r="I741" s="2"/>
      <c r="J741" s="2"/>
      <c r="K741" s="240"/>
    </row>
    <row r="742" spans="1:35" x14ac:dyDescent="0.2">
      <c r="A742" s="277"/>
      <c r="B742" s="294"/>
      <c r="C742" s="238"/>
      <c r="D742" s="254"/>
      <c r="E742" s="222">
        <v>2020</v>
      </c>
      <c r="F742" s="72"/>
      <c r="G742" s="2"/>
      <c r="H742" s="2"/>
      <c r="I742" s="2"/>
      <c r="J742" s="2"/>
      <c r="K742" s="240"/>
    </row>
    <row r="743" spans="1:35" x14ac:dyDescent="0.2">
      <c r="A743" s="277"/>
      <c r="B743" s="294"/>
      <c r="C743" s="238"/>
      <c r="D743" s="282"/>
      <c r="E743" s="18" t="s">
        <v>18</v>
      </c>
      <c r="F743" s="72"/>
      <c r="G743" s="2"/>
      <c r="H743" s="2"/>
      <c r="I743" s="2"/>
      <c r="J743" s="2"/>
      <c r="K743" s="241"/>
    </row>
    <row r="744" spans="1:35" ht="12.75" customHeight="1" x14ac:dyDescent="0.2">
      <c r="A744" s="311" t="s">
        <v>283</v>
      </c>
      <c r="B744" s="251" t="s">
        <v>90</v>
      </c>
      <c r="C744" s="237" t="s">
        <v>61</v>
      </c>
      <c r="D744" s="239" t="s">
        <v>207</v>
      </c>
      <c r="E744" s="222">
        <v>2015</v>
      </c>
      <c r="F744" s="72"/>
      <c r="G744" s="2"/>
      <c r="H744" s="2"/>
      <c r="I744" s="2"/>
      <c r="J744" s="2"/>
      <c r="K744" s="239" t="s">
        <v>166</v>
      </c>
    </row>
    <row r="745" spans="1:35" x14ac:dyDescent="0.2">
      <c r="A745" s="277"/>
      <c r="B745" s="294"/>
      <c r="C745" s="238"/>
      <c r="D745" s="254"/>
      <c r="E745" s="222">
        <v>2016</v>
      </c>
      <c r="F745" s="72"/>
      <c r="G745" s="2"/>
      <c r="H745" s="2"/>
      <c r="I745" s="2"/>
      <c r="J745" s="2"/>
      <c r="K745" s="240"/>
    </row>
    <row r="746" spans="1:35" x14ac:dyDescent="0.2">
      <c r="A746" s="277"/>
      <c r="B746" s="294"/>
      <c r="C746" s="238"/>
      <c r="D746" s="254"/>
      <c r="E746" s="222">
        <v>2017</v>
      </c>
      <c r="F746" s="72"/>
      <c r="G746" s="2"/>
      <c r="H746" s="2"/>
      <c r="I746" s="2"/>
      <c r="J746" s="2"/>
      <c r="K746" s="240"/>
    </row>
    <row r="747" spans="1:35" x14ac:dyDescent="0.2">
      <c r="A747" s="277"/>
      <c r="B747" s="294"/>
      <c r="C747" s="238"/>
      <c r="D747" s="254"/>
      <c r="E747" s="222">
        <v>2018</v>
      </c>
      <c r="F747" s="72"/>
      <c r="G747" s="2"/>
      <c r="H747" s="2"/>
      <c r="I747" s="2"/>
      <c r="J747" s="2"/>
      <c r="K747" s="240"/>
      <c r="L747" s="106"/>
    </row>
    <row r="748" spans="1:35" x14ac:dyDescent="0.2">
      <c r="A748" s="277"/>
      <c r="B748" s="294"/>
      <c r="C748" s="238"/>
      <c r="D748" s="254"/>
      <c r="E748" s="222">
        <v>2019</v>
      </c>
      <c r="F748" s="72"/>
      <c r="G748" s="2"/>
      <c r="H748" s="2"/>
      <c r="I748" s="2"/>
      <c r="J748" s="2"/>
      <c r="K748" s="240"/>
    </row>
    <row r="749" spans="1:35" x14ac:dyDescent="0.2">
      <c r="A749" s="277"/>
      <c r="B749" s="294"/>
      <c r="C749" s="238"/>
      <c r="D749" s="254"/>
      <c r="E749" s="222">
        <v>2020</v>
      </c>
      <c r="F749" s="72"/>
      <c r="G749" s="2"/>
      <c r="H749" s="2"/>
      <c r="I749" s="2"/>
      <c r="J749" s="2"/>
      <c r="K749" s="240"/>
    </row>
    <row r="750" spans="1:35" ht="24.75" customHeight="1" x14ac:dyDescent="0.2">
      <c r="A750" s="277"/>
      <c r="B750" s="294"/>
      <c r="C750" s="238"/>
      <c r="D750" s="282"/>
      <c r="E750" s="18" t="s">
        <v>18</v>
      </c>
      <c r="F750" s="72"/>
      <c r="G750" s="2"/>
      <c r="H750" s="2"/>
      <c r="I750" s="2"/>
      <c r="J750" s="2"/>
      <c r="K750" s="240"/>
      <c r="L750" s="135"/>
      <c r="M750" s="127"/>
    </row>
    <row r="751" spans="1:35" ht="15.75" customHeight="1" thickBot="1" x14ac:dyDescent="0.25">
      <c r="A751" s="286" t="s">
        <v>197</v>
      </c>
      <c r="B751" s="287"/>
      <c r="C751" s="287"/>
      <c r="D751" s="287"/>
      <c r="E751" s="6" t="s">
        <v>403</v>
      </c>
      <c r="F751" s="146">
        <f>F724+F736</f>
        <v>927.5</v>
      </c>
      <c r="G751" s="146"/>
      <c r="H751" s="146">
        <f>H724+H736+H743+H750</f>
        <v>0</v>
      </c>
      <c r="I751" s="146">
        <f>I724+I736+I743+I750</f>
        <v>927.5</v>
      </c>
      <c r="J751" s="15"/>
      <c r="K751" s="217"/>
    </row>
    <row r="752" spans="1:35" ht="31.5" customHeight="1" thickBot="1" x14ac:dyDescent="0.25">
      <c r="A752" s="259" t="s">
        <v>198</v>
      </c>
      <c r="B752" s="484"/>
      <c r="C752" s="484"/>
      <c r="D752" s="484"/>
      <c r="E752" s="484"/>
      <c r="F752" s="484"/>
      <c r="G752" s="484"/>
      <c r="H752" s="484"/>
      <c r="I752" s="484"/>
      <c r="J752" s="484"/>
      <c r="K752" s="484"/>
      <c r="L752" s="73"/>
      <c r="M752" s="73"/>
      <c r="N752" s="73"/>
      <c r="O752" s="73"/>
      <c r="P752" s="73"/>
      <c r="Q752" s="73"/>
      <c r="R752" s="73"/>
      <c r="S752" s="73"/>
      <c r="T752" s="73"/>
      <c r="U752" s="73"/>
      <c r="V752" s="73"/>
      <c r="W752" s="73"/>
      <c r="X752" s="73"/>
      <c r="Y752" s="73"/>
      <c r="Z752" s="73"/>
      <c r="AA752" s="73"/>
      <c r="AB752" s="73"/>
      <c r="AC752" s="73"/>
      <c r="AD752" s="73"/>
      <c r="AE752" s="73"/>
      <c r="AF752" s="73"/>
      <c r="AG752" s="73"/>
      <c r="AH752" s="73"/>
      <c r="AI752" s="74"/>
    </row>
    <row r="753" spans="1:35" ht="30" customHeight="1" thickBot="1" x14ac:dyDescent="0.25">
      <c r="A753" s="293" t="s">
        <v>199</v>
      </c>
      <c r="B753" s="485"/>
      <c r="C753" s="485"/>
      <c r="D753" s="366"/>
      <c r="E753" s="366"/>
      <c r="F753" s="366"/>
      <c r="G753" s="366"/>
      <c r="H753" s="366"/>
      <c r="I753" s="366"/>
      <c r="J753" s="366"/>
      <c r="K753" s="366"/>
      <c r="L753" s="75"/>
      <c r="M753" s="75"/>
      <c r="N753" s="75"/>
      <c r="O753" s="75"/>
      <c r="P753" s="75"/>
      <c r="Q753" s="75"/>
      <c r="R753" s="75"/>
      <c r="S753" s="75"/>
      <c r="T753" s="75"/>
      <c r="U753" s="75"/>
      <c r="V753" s="75"/>
      <c r="W753" s="75"/>
      <c r="X753" s="75"/>
      <c r="Y753" s="75"/>
      <c r="Z753" s="75"/>
      <c r="AA753" s="75"/>
      <c r="AB753" s="75"/>
      <c r="AC753" s="75"/>
      <c r="AD753" s="75"/>
      <c r="AE753" s="75"/>
      <c r="AF753" s="75"/>
      <c r="AG753" s="75"/>
      <c r="AH753" s="75"/>
      <c r="AI753" s="76"/>
    </row>
    <row r="754" spans="1:35" ht="15" x14ac:dyDescent="0.25">
      <c r="A754" s="266" t="s">
        <v>91</v>
      </c>
      <c r="B754" s="251" t="s">
        <v>92</v>
      </c>
      <c r="C754" s="237" t="s">
        <v>403</v>
      </c>
      <c r="D754" s="283" t="s">
        <v>207</v>
      </c>
      <c r="E754" s="222">
        <v>2015</v>
      </c>
      <c r="F754" s="156">
        <f t="shared" ref="F754:F759" si="135">SUM(G754:I754)</f>
        <v>170</v>
      </c>
      <c r="G754" s="7"/>
      <c r="H754" s="7"/>
      <c r="I754" s="7">
        <v>170</v>
      </c>
      <c r="J754" s="14"/>
      <c r="K754" s="283" t="s">
        <v>167</v>
      </c>
    </row>
    <row r="755" spans="1:35" ht="15" x14ac:dyDescent="0.25">
      <c r="A755" s="267"/>
      <c r="B755" s="294"/>
      <c r="C755" s="238"/>
      <c r="D755" s="238"/>
      <c r="E755" s="222">
        <v>2016</v>
      </c>
      <c r="F755" s="156">
        <f t="shared" si="135"/>
        <v>179.9</v>
      </c>
      <c r="G755" s="7"/>
      <c r="H755" s="7"/>
      <c r="I755" s="7">
        <f>180-0.1</f>
        <v>179.9</v>
      </c>
      <c r="J755" s="14"/>
      <c r="K755" s="283"/>
    </row>
    <row r="756" spans="1:35" ht="15" x14ac:dyDescent="0.25">
      <c r="A756" s="267"/>
      <c r="B756" s="294"/>
      <c r="C756" s="238"/>
      <c r="D756" s="238"/>
      <c r="E756" s="222">
        <v>2017</v>
      </c>
      <c r="F756" s="156">
        <f t="shared" si="135"/>
        <v>155</v>
      </c>
      <c r="G756" s="7"/>
      <c r="H756" s="7"/>
      <c r="I756" s="7">
        <v>155</v>
      </c>
      <c r="J756" s="14"/>
      <c r="K756" s="283"/>
      <c r="L756" s="106"/>
    </row>
    <row r="757" spans="1:35" ht="15" x14ac:dyDescent="0.25">
      <c r="A757" s="267"/>
      <c r="B757" s="294"/>
      <c r="C757" s="238"/>
      <c r="D757" s="238"/>
      <c r="E757" s="222">
        <v>2018</v>
      </c>
      <c r="F757" s="156">
        <f t="shared" si="135"/>
        <v>121.8</v>
      </c>
      <c r="G757" s="7"/>
      <c r="H757" s="7"/>
      <c r="I757" s="7">
        <f>149-9-18.2</f>
        <v>121.8</v>
      </c>
      <c r="J757" s="14"/>
      <c r="K757" s="283"/>
      <c r="L757" s="99"/>
    </row>
    <row r="758" spans="1:35" ht="15" x14ac:dyDescent="0.25">
      <c r="A758" s="267"/>
      <c r="B758" s="294"/>
      <c r="C758" s="238"/>
      <c r="D758" s="238"/>
      <c r="E758" s="222">
        <v>2019</v>
      </c>
      <c r="F758" s="156">
        <f t="shared" si="135"/>
        <v>176.2</v>
      </c>
      <c r="G758" s="7"/>
      <c r="H758" s="7"/>
      <c r="I758" s="7">
        <f>111+65.2</f>
        <v>176.2</v>
      </c>
      <c r="J758" s="14"/>
      <c r="K758" s="283"/>
      <c r="L758" s="99"/>
    </row>
    <row r="759" spans="1:35" ht="15" x14ac:dyDescent="0.25">
      <c r="A759" s="267"/>
      <c r="B759" s="294"/>
      <c r="C759" s="238"/>
      <c r="D759" s="238"/>
      <c r="E759" s="222">
        <v>2020</v>
      </c>
      <c r="F759" s="156">
        <f t="shared" si="135"/>
        <v>111</v>
      </c>
      <c r="G759" s="7"/>
      <c r="H759" s="7"/>
      <c r="I759" s="7">
        <v>111</v>
      </c>
      <c r="J759" s="14"/>
      <c r="K759" s="283"/>
    </row>
    <row r="760" spans="1:35" ht="15" x14ac:dyDescent="0.25">
      <c r="A760" s="267"/>
      <c r="B760" s="294"/>
      <c r="C760" s="238"/>
      <c r="D760" s="238"/>
      <c r="E760" s="222">
        <v>2021</v>
      </c>
      <c r="F760" s="156">
        <f t="shared" ref="F760:F764" si="136">SUM(G760:I760)</f>
        <v>0</v>
      </c>
      <c r="G760" s="7"/>
      <c r="H760" s="7"/>
      <c r="I760" s="7">
        <f>111-111</f>
        <v>0</v>
      </c>
      <c r="J760" s="14"/>
      <c r="K760" s="283"/>
    </row>
    <row r="761" spans="1:35" ht="15" x14ac:dyDescent="0.25">
      <c r="A761" s="267"/>
      <c r="B761" s="294"/>
      <c r="C761" s="238"/>
      <c r="D761" s="238"/>
      <c r="E761" s="222">
        <v>2022</v>
      </c>
      <c r="F761" s="156">
        <f t="shared" si="136"/>
        <v>0</v>
      </c>
      <c r="G761" s="7"/>
      <c r="H761" s="7"/>
      <c r="I761" s="7">
        <f>111-111</f>
        <v>0</v>
      </c>
      <c r="J761" s="14"/>
      <c r="K761" s="283"/>
      <c r="L761" s="106"/>
    </row>
    <row r="762" spans="1:35" ht="15" x14ac:dyDescent="0.25">
      <c r="A762" s="267"/>
      <c r="B762" s="294"/>
      <c r="C762" s="238"/>
      <c r="D762" s="238"/>
      <c r="E762" s="222">
        <v>2023</v>
      </c>
      <c r="F762" s="156">
        <f t="shared" si="136"/>
        <v>111</v>
      </c>
      <c r="G762" s="7"/>
      <c r="H762" s="7"/>
      <c r="I762" s="7">
        <v>111</v>
      </c>
      <c r="J762" s="14"/>
      <c r="K762" s="283"/>
      <c r="L762" s="99"/>
    </row>
    <row r="763" spans="1:35" ht="15" x14ac:dyDescent="0.25">
      <c r="A763" s="267"/>
      <c r="B763" s="294"/>
      <c r="C763" s="238"/>
      <c r="D763" s="238"/>
      <c r="E763" s="222">
        <v>2024</v>
      </c>
      <c r="F763" s="156">
        <f t="shared" si="136"/>
        <v>111</v>
      </c>
      <c r="G763" s="7"/>
      <c r="H763" s="7"/>
      <c r="I763" s="7">
        <v>111</v>
      </c>
      <c r="J763" s="14"/>
      <c r="K763" s="283"/>
      <c r="L763" s="99"/>
    </row>
    <row r="764" spans="1:35" ht="15" x14ac:dyDescent="0.25">
      <c r="A764" s="267"/>
      <c r="B764" s="294"/>
      <c r="C764" s="238"/>
      <c r="D764" s="238"/>
      <c r="E764" s="222">
        <v>2025</v>
      </c>
      <c r="F764" s="156">
        <f t="shared" si="136"/>
        <v>111</v>
      </c>
      <c r="G764" s="7"/>
      <c r="H764" s="7"/>
      <c r="I764" s="7">
        <v>111</v>
      </c>
      <c r="J764" s="14"/>
      <c r="K764" s="283"/>
    </row>
    <row r="765" spans="1:35" ht="14.25" x14ac:dyDescent="0.2">
      <c r="A765" s="267"/>
      <c r="B765" s="294"/>
      <c r="C765" s="238"/>
      <c r="D765" s="238"/>
      <c r="E765" s="18" t="s">
        <v>18</v>
      </c>
      <c r="F765" s="140">
        <f>SUM(F754:F764)</f>
        <v>1246.8999999999999</v>
      </c>
      <c r="G765" s="8"/>
      <c r="H765" s="8"/>
      <c r="I765" s="8">
        <f>SUM(I754:I764)</f>
        <v>1246.8999999999999</v>
      </c>
      <c r="J765" s="14"/>
      <c r="K765" s="283"/>
    </row>
    <row r="766" spans="1:35" x14ac:dyDescent="0.2">
      <c r="A766" s="276" t="s">
        <v>67</v>
      </c>
      <c r="B766" s="279" t="s">
        <v>93</v>
      </c>
      <c r="C766" s="281" t="s">
        <v>61</v>
      </c>
      <c r="D766" s="240" t="s">
        <v>207</v>
      </c>
      <c r="E766" s="208">
        <v>2015</v>
      </c>
      <c r="F766" s="187"/>
      <c r="G766" s="12"/>
      <c r="H766" s="12"/>
      <c r="I766" s="12"/>
      <c r="J766" s="12"/>
      <c r="K766" s="240" t="s">
        <v>168</v>
      </c>
    </row>
    <row r="767" spans="1:35" x14ac:dyDescent="0.2">
      <c r="A767" s="277"/>
      <c r="B767" s="280"/>
      <c r="C767" s="238"/>
      <c r="D767" s="254"/>
      <c r="E767" s="222">
        <v>2016</v>
      </c>
      <c r="F767" s="77"/>
      <c r="G767" s="14"/>
      <c r="H767" s="14"/>
      <c r="I767" s="14"/>
      <c r="J767" s="14"/>
      <c r="K767" s="240"/>
    </row>
    <row r="768" spans="1:35" x14ac:dyDescent="0.2">
      <c r="A768" s="277"/>
      <c r="B768" s="280"/>
      <c r="C768" s="238"/>
      <c r="D768" s="254"/>
      <c r="E768" s="222">
        <v>2017</v>
      </c>
      <c r="F768" s="77"/>
      <c r="G768" s="14"/>
      <c r="H768" s="14"/>
      <c r="I768" s="14"/>
      <c r="J768" s="14"/>
      <c r="K768" s="240"/>
      <c r="L768" s="106"/>
    </row>
    <row r="769" spans="1:35" x14ac:dyDescent="0.2">
      <c r="A769" s="277"/>
      <c r="B769" s="280"/>
      <c r="C769" s="238"/>
      <c r="D769" s="254"/>
      <c r="E769" s="222">
        <v>2018</v>
      </c>
      <c r="F769" s="77"/>
      <c r="G769" s="14"/>
      <c r="H769" s="14"/>
      <c r="I769" s="14"/>
      <c r="J769" s="14"/>
      <c r="K769" s="240"/>
    </row>
    <row r="770" spans="1:35" x14ac:dyDescent="0.2">
      <c r="A770" s="277"/>
      <c r="B770" s="280"/>
      <c r="C770" s="238"/>
      <c r="D770" s="254"/>
      <c r="E770" s="222">
        <v>2019</v>
      </c>
      <c r="F770" s="77"/>
      <c r="G770" s="14"/>
      <c r="H770" s="14"/>
      <c r="I770" s="14"/>
      <c r="J770" s="14"/>
      <c r="K770" s="240"/>
    </row>
    <row r="771" spans="1:35" x14ac:dyDescent="0.2">
      <c r="A771" s="277"/>
      <c r="B771" s="280"/>
      <c r="C771" s="238"/>
      <c r="D771" s="254"/>
      <c r="E771" s="222">
        <v>2020</v>
      </c>
      <c r="F771" s="77"/>
      <c r="G771" s="14"/>
      <c r="H771" s="14"/>
      <c r="I771" s="14"/>
      <c r="J771" s="14"/>
      <c r="K771" s="240"/>
    </row>
    <row r="772" spans="1:35" x14ac:dyDescent="0.2">
      <c r="A772" s="278"/>
      <c r="B772" s="280"/>
      <c r="C772" s="272"/>
      <c r="D772" s="282"/>
      <c r="E772" s="26" t="s">
        <v>18</v>
      </c>
      <c r="F772" s="78"/>
      <c r="G772" s="22"/>
      <c r="H772" s="22"/>
      <c r="I772" s="22"/>
      <c r="J772" s="22"/>
      <c r="K772" s="240"/>
    </row>
    <row r="773" spans="1:35" ht="15.75" customHeight="1" thickBot="1" x14ac:dyDescent="0.25">
      <c r="A773" s="286" t="s">
        <v>185</v>
      </c>
      <c r="B773" s="287"/>
      <c r="C773" s="287"/>
      <c r="D773" s="287"/>
      <c r="E773" s="6" t="s">
        <v>403</v>
      </c>
      <c r="F773" s="146">
        <f>F765+F772</f>
        <v>1246.8999999999999</v>
      </c>
      <c r="G773" s="146"/>
      <c r="H773" s="146">
        <f>H765+H772</f>
        <v>0</v>
      </c>
      <c r="I773" s="146">
        <f>I765+I772</f>
        <v>1246.8999999999999</v>
      </c>
      <c r="J773" s="17"/>
      <c r="K773" s="92"/>
      <c r="M773" s="126"/>
      <c r="N773" s="127"/>
    </row>
    <row r="774" spans="1:35" ht="18" customHeight="1" thickBot="1" x14ac:dyDescent="0.25">
      <c r="A774" s="486" t="s">
        <v>200</v>
      </c>
      <c r="B774" s="487"/>
      <c r="C774" s="487"/>
      <c r="D774" s="487"/>
      <c r="E774" s="487"/>
      <c r="F774" s="487"/>
      <c r="G774" s="487"/>
      <c r="H774" s="487"/>
      <c r="I774" s="487"/>
      <c r="J774" s="487"/>
      <c r="K774" s="488"/>
      <c r="L774" s="63"/>
      <c r="M774" s="63"/>
      <c r="N774" s="63"/>
      <c r="O774" s="63"/>
      <c r="P774" s="63"/>
      <c r="Q774" s="63"/>
      <c r="R774" s="63"/>
      <c r="S774" s="63"/>
      <c r="T774" s="63"/>
      <c r="U774" s="63"/>
      <c r="V774" s="63"/>
      <c r="W774" s="63"/>
      <c r="X774" s="63"/>
      <c r="Y774" s="63"/>
      <c r="Z774" s="63"/>
      <c r="AA774" s="63"/>
      <c r="AB774" s="63"/>
      <c r="AC774" s="63"/>
      <c r="AD774" s="63"/>
      <c r="AE774" s="63"/>
      <c r="AF774" s="63"/>
      <c r="AG774" s="63"/>
      <c r="AH774" s="63"/>
      <c r="AI774" s="64"/>
    </row>
    <row r="775" spans="1:35" ht="15" thickBot="1" x14ac:dyDescent="0.25">
      <c r="A775" s="421" t="s">
        <v>76</v>
      </c>
      <c r="B775" s="489"/>
      <c r="C775" s="489"/>
      <c r="D775" s="489"/>
      <c r="E775" s="489"/>
      <c r="F775" s="489"/>
      <c r="G775" s="489"/>
      <c r="H775" s="489"/>
      <c r="I775" s="489"/>
      <c r="J775" s="489"/>
      <c r="K775" s="490"/>
      <c r="L775" s="79"/>
      <c r="M775" s="79"/>
      <c r="N775" s="79"/>
      <c r="O775" s="79"/>
      <c r="P775" s="79"/>
      <c r="Q775" s="79"/>
      <c r="R775" s="79"/>
      <c r="S775" s="79"/>
      <c r="T775" s="79"/>
      <c r="U775" s="79"/>
      <c r="V775" s="79"/>
      <c r="W775" s="79"/>
      <c r="X775" s="79"/>
      <c r="Y775" s="79"/>
      <c r="Z775" s="79"/>
      <c r="AA775" s="79"/>
      <c r="AB775" s="79"/>
      <c r="AC775" s="79"/>
      <c r="AD775" s="79"/>
      <c r="AE775" s="79"/>
      <c r="AF775" s="79"/>
      <c r="AG775" s="79"/>
      <c r="AH775" s="79"/>
      <c r="AI775" s="80"/>
    </row>
    <row r="776" spans="1:35" ht="15" x14ac:dyDescent="0.25">
      <c r="A776" s="276" t="s">
        <v>77</v>
      </c>
      <c r="B776" s="250" t="s">
        <v>94</v>
      </c>
      <c r="C776" s="241" t="s">
        <v>403</v>
      </c>
      <c r="D776" s="240" t="s">
        <v>207</v>
      </c>
      <c r="E776" s="208">
        <v>2015</v>
      </c>
      <c r="F776" s="160">
        <f t="shared" ref="F776:F781" si="137">SUM(G776:I776)</f>
        <v>5</v>
      </c>
      <c r="G776" s="143"/>
      <c r="H776" s="143"/>
      <c r="I776" s="143">
        <v>5</v>
      </c>
      <c r="J776" s="12"/>
      <c r="K776" s="240" t="s">
        <v>169</v>
      </c>
    </row>
    <row r="777" spans="1:35" ht="15" x14ac:dyDescent="0.25">
      <c r="A777" s="277"/>
      <c r="B777" s="294"/>
      <c r="C777" s="284"/>
      <c r="D777" s="254"/>
      <c r="E777" s="222">
        <v>2016</v>
      </c>
      <c r="F777" s="157">
        <f t="shared" si="137"/>
        <v>6</v>
      </c>
      <c r="G777" s="7"/>
      <c r="H777" s="7"/>
      <c r="I777" s="7">
        <v>6</v>
      </c>
      <c r="J777" s="14"/>
      <c r="K777" s="240"/>
    </row>
    <row r="778" spans="1:35" ht="15" x14ac:dyDescent="0.25">
      <c r="A778" s="277"/>
      <c r="B778" s="294"/>
      <c r="C778" s="284"/>
      <c r="D778" s="254"/>
      <c r="E778" s="222">
        <v>2017</v>
      </c>
      <c r="F778" s="157">
        <f t="shared" si="137"/>
        <v>5</v>
      </c>
      <c r="G778" s="7"/>
      <c r="H778" s="7"/>
      <c r="I778" s="7">
        <v>5</v>
      </c>
      <c r="J778" s="14"/>
      <c r="K778" s="240"/>
      <c r="L778" s="99"/>
    </row>
    <row r="779" spans="1:35" ht="15" x14ac:dyDescent="0.25">
      <c r="A779" s="277"/>
      <c r="B779" s="294"/>
      <c r="C779" s="284"/>
      <c r="D779" s="254"/>
      <c r="E779" s="222">
        <v>2018</v>
      </c>
      <c r="F779" s="157">
        <f t="shared" si="137"/>
        <v>7</v>
      </c>
      <c r="G779" s="7"/>
      <c r="H779" s="7"/>
      <c r="I779" s="7">
        <v>7</v>
      </c>
      <c r="J779" s="14"/>
      <c r="K779" s="240"/>
      <c r="L779" s="106"/>
    </row>
    <row r="780" spans="1:35" ht="15" x14ac:dyDescent="0.25">
      <c r="A780" s="277"/>
      <c r="B780" s="294"/>
      <c r="C780" s="284"/>
      <c r="D780" s="254"/>
      <c r="E780" s="222">
        <v>2019</v>
      </c>
      <c r="F780" s="157">
        <f t="shared" si="137"/>
        <v>7.5</v>
      </c>
      <c r="G780" s="7"/>
      <c r="H780" s="7"/>
      <c r="I780" s="7">
        <v>7.5</v>
      </c>
      <c r="J780" s="14"/>
      <c r="K780" s="240"/>
      <c r="L780" s="99"/>
    </row>
    <row r="781" spans="1:35" ht="15" x14ac:dyDescent="0.25">
      <c r="A781" s="277"/>
      <c r="B781" s="294"/>
      <c r="C781" s="284"/>
      <c r="D781" s="254"/>
      <c r="E781" s="222">
        <v>2020</v>
      </c>
      <c r="F781" s="157">
        <f t="shared" si="137"/>
        <v>8</v>
      </c>
      <c r="G781" s="7"/>
      <c r="H781" s="7"/>
      <c r="I781" s="7">
        <v>8</v>
      </c>
      <c r="J781" s="14"/>
      <c r="K781" s="240"/>
    </row>
    <row r="782" spans="1:35" ht="15" x14ac:dyDescent="0.25">
      <c r="A782" s="278"/>
      <c r="B782" s="309"/>
      <c r="C782" s="285"/>
      <c r="D782" s="254"/>
      <c r="E782" s="222">
        <v>2021</v>
      </c>
      <c r="F782" s="157">
        <f t="shared" ref="F782:F785" si="138">SUM(G782:I782)</f>
        <v>0</v>
      </c>
      <c r="G782" s="7"/>
      <c r="H782" s="7"/>
      <c r="I782" s="7">
        <f>8-8</f>
        <v>0</v>
      </c>
      <c r="J782" s="14"/>
      <c r="K782" s="240"/>
    </row>
    <row r="783" spans="1:35" ht="15" x14ac:dyDescent="0.25">
      <c r="A783" s="278"/>
      <c r="B783" s="309"/>
      <c r="C783" s="285"/>
      <c r="D783" s="254"/>
      <c r="E783" s="222">
        <v>2022</v>
      </c>
      <c r="F783" s="157">
        <f t="shared" si="138"/>
        <v>0</v>
      </c>
      <c r="G783" s="7"/>
      <c r="H783" s="7"/>
      <c r="I783" s="7">
        <f>8-8</f>
        <v>0</v>
      </c>
      <c r="J783" s="14"/>
      <c r="K783" s="240"/>
      <c r="L783" s="99"/>
    </row>
    <row r="784" spans="1:35" ht="15" x14ac:dyDescent="0.25">
      <c r="A784" s="278"/>
      <c r="B784" s="309"/>
      <c r="C784" s="285"/>
      <c r="D784" s="254"/>
      <c r="E784" s="222">
        <v>2023</v>
      </c>
      <c r="F784" s="157">
        <f t="shared" si="138"/>
        <v>8</v>
      </c>
      <c r="G784" s="7"/>
      <c r="H784" s="7"/>
      <c r="I784" s="7">
        <v>8</v>
      </c>
      <c r="J784" s="14"/>
      <c r="K784" s="240"/>
      <c r="L784" s="106"/>
    </row>
    <row r="785" spans="1:13" ht="15" x14ac:dyDescent="0.25">
      <c r="A785" s="278"/>
      <c r="B785" s="309"/>
      <c r="C785" s="285"/>
      <c r="D785" s="254"/>
      <c r="E785" s="222">
        <v>2024</v>
      </c>
      <c r="F785" s="157">
        <f t="shared" si="138"/>
        <v>8</v>
      </c>
      <c r="G785" s="7"/>
      <c r="H785" s="7"/>
      <c r="I785" s="7">
        <v>8</v>
      </c>
      <c r="J785" s="14"/>
      <c r="K785" s="240"/>
      <c r="L785" s="99"/>
    </row>
    <row r="786" spans="1:13" ht="15" x14ac:dyDescent="0.25">
      <c r="A786" s="278"/>
      <c r="B786" s="309"/>
      <c r="C786" s="285"/>
      <c r="D786" s="254"/>
      <c r="E786" s="222">
        <v>2025</v>
      </c>
      <c r="F786" s="157">
        <f t="shared" ref="F786" si="139">SUM(G786:I786)</f>
        <v>8</v>
      </c>
      <c r="G786" s="7"/>
      <c r="H786" s="7"/>
      <c r="I786" s="7">
        <v>8</v>
      </c>
      <c r="J786" s="14"/>
      <c r="K786" s="240"/>
      <c r="L786" s="99"/>
    </row>
    <row r="787" spans="1:13" ht="14.25" x14ac:dyDescent="0.2">
      <c r="A787" s="278"/>
      <c r="B787" s="309"/>
      <c r="C787" s="285"/>
      <c r="D787" s="282"/>
      <c r="E787" s="26" t="s">
        <v>18</v>
      </c>
      <c r="F787" s="161">
        <f>SUM(F776:F786)</f>
        <v>62.5</v>
      </c>
      <c r="G787" s="162"/>
      <c r="H787" s="162"/>
      <c r="I787" s="162">
        <f>SUM(I776:I786)</f>
        <v>62.5</v>
      </c>
      <c r="J787" s="22"/>
      <c r="K787" s="241"/>
    </row>
    <row r="788" spans="1:13" ht="15" x14ac:dyDescent="0.25">
      <c r="A788" s="266" t="s">
        <v>79</v>
      </c>
      <c r="B788" s="251" t="s">
        <v>95</v>
      </c>
      <c r="C788" s="283" t="s">
        <v>403</v>
      </c>
      <c r="D788" s="239" t="s">
        <v>207</v>
      </c>
      <c r="E788" s="222">
        <v>2015</v>
      </c>
      <c r="F788" s="156">
        <f t="shared" ref="F788:F793" si="140">SUM(G788:I788)</f>
        <v>13.5</v>
      </c>
      <c r="G788" s="7"/>
      <c r="H788" s="7"/>
      <c r="I788" s="7">
        <v>13.5</v>
      </c>
      <c r="J788" s="14"/>
      <c r="K788" s="239" t="s">
        <v>169</v>
      </c>
    </row>
    <row r="789" spans="1:13" ht="15" x14ac:dyDescent="0.25">
      <c r="A789" s="267"/>
      <c r="B789" s="294"/>
      <c r="C789" s="284"/>
      <c r="D789" s="254"/>
      <c r="E789" s="222">
        <v>2016</v>
      </c>
      <c r="F789" s="156">
        <f t="shared" si="140"/>
        <v>14</v>
      </c>
      <c r="G789" s="7"/>
      <c r="H789" s="7"/>
      <c r="I789" s="7">
        <v>14</v>
      </c>
      <c r="J789" s="14"/>
      <c r="K789" s="240"/>
    </row>
    <row r="790" spans="1:13" ht="15" x14ac:dyDescent="0.25">
      <c r="A790" s="267"/>
      <c r="B790" s="294"/>
      <c r="C790" s="284"/>
      <c r="D790" s="254"/>
      <c r="E790" s="222">
        <v>2017</v>
      </c>
      <c r="F790" s="156">
        <f t="shared" si="140"/>
        <v>11.3</v>
      </c>
      <c r="G790" s="7"/>
      <c r="H790" s="7"/>
      <c r="I790" s="7">
        <v>11.3</v>
      </c>
      <c r="J790" s="14"/>
      <c r="K790" s="240"/>
      <c r="L790" s="99"/>
    </row>
    <row r="791" spans="1:13" ht="15" x14ac:dyDescent="0.25">
      <c r="A791" s="267"/>
      <c r="B791" s="294"/>
      <c r="C791" s="284"/>
      <c r="D791" s="254"/>
      <c r="E791" s="222">
        <v>2018</v>
      </c>
      <c r="F791" s="156">
        <f t="shared" si="140"/>
        <v>15</v>
      </c>
      <c r="G791" s="7"/>
      <c r="H791" s="7"/>
      <c r="I791" s="7">
        <v>15</v>
      </c>
      <c r="J791" s="14"/>
      <c r="K791" s="240"/>
      <c r="L791" s="106"/>
    </row>
    <row r="792" spans="1:13" ht="15" x14ac:dyDescent="0.25">
      <c r="A792" s="267"/>
      <c r="B792" s="294"/>
      <c r="C792" s="284"/>
      <c r="D792" s="254"/>
      <c r="E792" s="222">
        <v>2019</v>
      </c>
      <c r="F792" s="156">
        <f t="shared" si="140"/>
        <v>4.5</v>
      </c>
      <c r="G792" s="7"/>
      <c r="H792" s="7"/>
      <c r="I792" s="7">
        <f>15.5-11</f>
        <v>4.5</v>
      </c>
      <c r="J792" s="14"/>
      <c r="K792" s="240"/>
      <c r="L792" s="99"/>
    </row>
    <row r="793" spans="1:13" ht="15" x14ac:dyDescent="0.25">
      <c r="A793" s="267"/>
      <c r="B793" s="294"/>
      <c r="C793" s="284"/>
      <c r="D793" s="254"/>
      <c r="E793" s="222">
        <v>2020</v>
      </c>
      <c r="F793" s="156">
        <f t="shared" si="140"/>
        <v>7</v>
      </c>
      <c r="G793" s="7"/>
      <c r="H793" s="7"/>
      <c r="I793" s="7">
        <v>7</v>
      </c>
      <c r="J793" s="14"/>
      <c r="K793" s="240"/>
    </row>
    <row r="794" spans="1:13" ht="15" x14ac:dyDescent="0.25">
      <c r="A794" s="267"/>
      <c r="B794" s="294"/>
      <c r="C794" s="284"/>
      <c r="D794" s="254"/>
      <c r="E794" s="222">
        <v>2021</v>
      </c>
      <c r="F794" s="156">
        <f t="shared" ref="F794:F798" si="141">SUM(G794:I794)</f>
        <v>0</v>
      </c>
      <c r="G794" s="7"/>
      <c r="H794" s="7"/>
      <c r="I794" s="7">
        <f>7-7</f>
        <v>0</v>
      </c>
      <c r="J794" s="14"/>
      <c r="K794" s="240"/>
    </row>
    <row r="795" spans="1:13" ht="15" x14ac:dyDescent="0.25">
      <c r="A795" s="267"/>
      <c r="B795" s="294"/>
      <c r="C795" s="284"/>
      <c r="D795" s="254"/>
      <c r="E795" s="222">
        <v>2022</v>
      </c>
      <c r="F795" s="156">
        <f t="shared" si="141"/>
        <v>0</v>
      </c>
      <c r="G795" s="7"/>
      <c r="H795" s="7"/>
      <c r="I795" s="7">
        <f>7-7</f>
        <v>0</v>
      </c>
      <c r="J795" s="14"/>
      <c r="K795" s="240"/>
      <c r="L795" s="99"/>
    </row>
    <row r="796" spans="1:13" ht="15" x14ac:dyDescent="0.25">
      <c r="A796" s="267"/>
      <c r="B796" s="294"/>
      <c r="C796" s="284"/>
      <c r="D796" s="254"/>
      <c r="E796" s="222">
        <v>2023</v>
      </c>
      <c r="F796" s="156">
        <f t="shared" si="141"/>
        <v>7</v>
      </c>
      <c r="G796" s="7"/>
      <c r="H796" s="7"/>
      <c r="I796" s="7">
        <v>7</v>
      </c>
      <c r="J796" s="14"/>
      <c r="K796" s="240"/>
      <c r="L796" s="106"/>
    </row>
    <row r="797" spans="1:13" ht="15" x14ac:dyDescent="0.25">
      <c r="A797" s="267"/>
      <c r="B797" s="294"/>
      <c r="C797" s="284"/>
      <c r="D797" s="254"/>
      <c r="E797" s="222">
        <v>2024</v>
      </c>
      <c r="F797" s="156">
        <f t="shared" si="141"/>
        <v>7</v>
      </c>
      <c r="G797" s="7"/>
      <c r="H797" s="7"/>
      <c r="I797" s="7">
        <v>7</v>
      </c>
      <c r="J797" s="14"/>
      <c r="K797" s="240"/>
      <c r="L797" s="99"/>
    </row>
    <row r="798" spans="1:13" ht="15" x14ac:dyDescent="0.25">
      <c r="A798" s="267"/>
      <c r="B798" s="294"/>
      <c r="C798" s="284"/>
      <c r="D798" s="254"/>
      <c r="E798" s="222">
        <v>2025</v>
      </c>
      <c r="F798" s="156">
        <f t="shared" si="141"/>
        <v>7</v>
      </c>
      <c r="G798" s="7"/>
      <c r="H798" s="7"/>
      <c r="I798" s="7">
        <v>7</v>
      </c>
      <c r="J798" s="14"/>
      <c r="K798" s="240"/>
    </row>
    <row r="799" spans="1:13" ht="14.25" x14ac:dyDescent="0.2">
      <c r="A799" s="267"/>
      <c r="B799" s="294"/>
      <c r="C799" s="284"/>
      <c r="D799" s="282"/>
      <c r="E799" s="18" t="s">
        <v>18</v>
      </c>
      <c r="F799" s="140">
        <f>SUM(F788:F798)</f>
        <v>86.3</v>
      </c>
      <c r="G799" s="8"/>
      <c r="H799" s="8"/>
      <c r="I799" s="8">
        <f>SUM(I788:I798)</f>
        <v>86.3</v>
      </c>
      <c r="J799" s="14"/>
      <c r="K799" s="240"/>
    </row>
    <row r="800" spans="1:13" ht="14.25" customHeight="1" thickBot="1" x14ac:dyDescent="0.25">
      <c r="A800" s="286" t="s">
        <v>187</v>
      </c>
      <c r="B800" s="287"/>
      <c r="C800" s="287"/>
      <c r="D800" s="287"/>
      <c r="E800" s="6" t="s">
        <v>403</v>
      </c>
      <c r="F800" s="146">
        <f>SUM(G800:I800)</f>
        <v>148.80000000000001</v>
      </c>
      <c r="G800" s="146"/>
      <c r="H800" s="146">
        <f>H799+H787</f>
        <v>0</v>
      </c>
      <c r="I800" s="146">
        <f>I799+I787</f>
        <v>148.80000000000001</v>
      </c>
      <c r="J800" s="17"/>
      <c r="K800" s="216"/>
      <c r="L800" s="126"/>
      <c r="M800" s="127"/>
    </row>
    <row r="801" spans="1:35" ht="15" thickBot="1" x14ac:dyDescent="0.25">
      <c r="A801" s="293" t="s">
        <v>201</v>
      </c>
      <c r="B801" s="294"/>
      <c r="C801" s="294"/>
      <c r="D801" s="294"/>
      <c r="E801" s="294"/>
      <c r="F801" s="294"/>
      <c r="G801" s="294"/>
      <c r="H801" s="294"/>
      <c r="I801" s="294"/>
      <c r="J801" s="294"/>
      <c r="K801" s="294"/>
      <c r="L801" s="63"/>
      <c r="M801" s="63"/>
      <c r="N801" s="63"/>
      <c r="O801" s="63"/>
      <c r="P801" s="63"/>
      <c r="Q801" s="63"/>
      <c r="R801" s="63"/>
      <c r="S801" s="63"/>
      <c r="T801" s="63"/>
      <c r="U801" s="63"/>
      <c r="V801" s="63"/>
      <c r="W801" s="63"/>
      <c r="X801" s="63"/>
      <c r="Y801" s="63"/>
      <c r="Z801" s="63"/>
      <c r="AA801" s="63"/>
      <c r="AB801" s="63"/>
      <c r="AC801" s="63"/>
      <c r="AD801" s="63"/>
      <c r="AE801" s="63"/>
      <c r="AF801" s="63"/>
      <c r="AG801" s="63"/>
      <c r="AH801" s="63"/>
      <c r="AI801" s="64"/>
    </row>
    <row r="802" spans="1:35" ht="15" thickBot="1" x14ac:dyDescent="0.25">
      <c r="A802" s="491" t="s">
        <v>96</v>
      </c>
      <c r="B802" s="309"/>
      <c r="C802" s="309"/>
      <c r="D802" s="309"/>
      <c r="E802" s="309"/>
      <c r="F802" s="309"/>
      <c r="G802" s="309"/>
      <c r="H802" s="309"/>
      <c r="I802" s="309"/>
      <c r="J802" s="309"/>
      <c r="K802" s="309"/>
      <c r="L802" s="75"/>
      <c r="M802" s="75"/>
      <c r="N802" s="75"/>
      <c r="O802" s="75"/>
      <c r="P802" s="75"/>
      <c r="Q802" s="75"/>
      <c r="R802" s="75"/>
      <c r="S802" s="75"/>
      <c r="T802" s="75"/>
      <c r="U802" s="75"/>
      <c r="V802" s="75"/>
      <c r="W802" s="75"/>
      <c r="X802" s="75"/>
      <c r="Y802" s="75"/>
      <c r="Z802" s="75"/>
      <c r="AA802" s="75"/>
      <c r="AB802" s="75"/>
      <c r="AC802" s="75"/>
      <c r="AD802" s="75"/>
      <c r="AE802" s="75"/>
      <c r="AF802" s="75"/>
      <c r="AG802" s="75"/>
      <c r="AH802" s="75"/>
      <c r="AI802" s="76"/>
    </row>
    <row r="803" spans="1:35" ht="12.75" customHeight="1" x14ac:dyDescent="0.25">
      <c r="A803" s="302" t="s">
        <v>97</v>
      </c>
      <c r="B803" s="251" t="s">
        <v>437</v>
      </c>
      <c r="C803" s="283" t="s">
        <v>402</v>
      </c>
      <c r="D803" s="283" t="s">
        <v>207</v>
      </c>
      <c r="E803" s="222">
        <v>2015</v>
      </c>
      <c r="F803" s="156">
        <f t="shared" ref="F803:F808" si="142">SUM(G803:I803)</f>
        <v>230</v>
      </c>
      <c r="G803" s="7"/>
      <c r="H803" s="7"/>
      <c r="I803" s="7">
        <v>230</v>
      </c>
      <c r="J803" s="14"/>
      <c r="K803" s="283" t="s">
        <v>172</v>
      </c>
    </row>
    <row r="804" spans="1:35" ht="15" x14ac:dyDescent="0.25">
      <c r="A804" s="303"/>
      <c r="B804" s="294"/>
      <c r="C804" s="284"/>
      <c r="D804" s="238"/>
      <c r="E804" s="222">
        <v>2016</v>
      </c>
      <c r="F804" s="156">
        <f t="shared" si="142"/>
        <v>245</v>
      </c>
      <c r="G804" s="7"/>
      <c r="H804" s="7"/>
      <c r="I804" s="7">
        <v>245</v>
      </c>
      <c r="J804" s="14"/>
      <c r="K804" s="283"/>
    </row>
    <row r="805" spans="1:35" ht="15" x14ac:dyDescent="0.25">
      <c r="A805" s="303"/>
      <c r="B805" s="294"/>
      <c r="C805" s="284"/>
      <c r="D805" s="238"/>
      <c r="E805" s="222">
        <v>2017</v>
      </c>
      <c r="F805" s="156">
        <f t="shared" si="142"/>
        <v>261.3</v>
      </c>
      <c r="G805" s="7"/>
      <c r="H805" s="7"/>
      <c r="I805" s="7">
        <f>210+51.3</f>
        <v>261.3</v>
      </c>
      <c r="J805" s="14"/>
      <c r="K805" s="283"/>
      <c r="L805" s="99"/>
    </row>
    <row r="806" spans="1:35" ht="15" x14ac:dyDescent="0.25">
      <c r="A806" s="303"/>
      <c r="B806" s="294"/>
      <c r="C806" s="284"/>
      <c r="D806" s="238"/>
      <c r="E806" s="222">
        <v>2018</v>
      </c>
      <c r="F806" s="156">
        <f t="shared" si="142"/>
        <v>118.9</v>
      </c>
      <c r="G806" s="7"/>
      <c r="H806" s="7"/>
      <c r="I806" s="7">
        <v>118.9</v>
      </c>
      <c r="J806" s="14"/>
      <c r="K806" s="283"/>
      <c r="L806" s="106"/>
    </row>
    <row r="807" spans="1:35" ht="15" x14ac:dyDescent="0.25">
      <c r="A807" s="303"/>
      <c r="B807" s="294"/>
      <c r="C807" s="284"/>
      <c r="D807" s="238"/>
      <c r="E807" s="222">
        <v>2019</v>
      </c>
      <c r="F807" s="156">
        <f t="shared" si="142"/>
        <v>324</v>
      </c>
      <c r="G807" s="7"/>
      <c r="H807" s="7"/>
      <c r="I807" s="7">
        <f>310+14</f>
        <v>324</v>
      </c>
      <c r="J807" s="14"/>
      <c r="K807" s="283"/>
      <c r="L807" s="99"/>
    </row>
    <row r="808" spans="1:35" ht="15" x14ac:dyDescent="0.25">
      <c r="A808" s="303"/>
      <c r="B808" s="294"/>
      <c r="C808" s="284"/>
      <c r="D808" s="238"/>
      <c r="E808" s="222">
        <v>2020</v>
      </c>
      <c r="F808" s="156">
        <f t="shared" si="142"/>
        <v>250</v>
      </c>
      <c r="G808" s="7"/>
      <c r="H808" s="7"/>
      <c r="I808" s="7">
        <v>250</v>
      </c>
      <c r="J808" s="14"/>
      <c r="K808" s="283"/>
    </row>
    <row r="809" spans="1:35" ht="15" x14ac:dyDescent="0.25">
      <c r="A809" s="303"/>
      <c r="B809" s="294"/>
      <c r="C809" s="284"/>
      <c r="D809" s="238"/>
      <c r="E809" s="222">
        <v>2021</v>
      </c>
      <c r="F809" s="156">
        <f t="shared" ref="F809" si="143">SUM(G809:I809)</f>
        <v>0</v>
      </c>
      <c r="G809" s="7"/>
      <c r="H809" s="7"/>
      <c r="I809" s="7">
        <v>0</v>
      </c>
      <c r="J809" s="14"/>
      <c r="K809" s="283"/>
    </row>
    <row r="810" spans="1:35" ht="29.25" customHeight="1" x14ac:dyDescent="0.2">
      <c r="A810" s="303"/>
      <c r="B810" s="294"/>
      <c r="C810" s="284"/>
      <c r="D810" s="238"/>
      <c r="E810" s="18" t="s">
        <v>18</v>
      </c>
      <c r="F810" s="140">
        <f>SUM(F803:F808)</f>
        <v>1429.1999999999998</v>
      </c>
      <c r="G810" s="8"/>
      <c r="H810" s="8"/>
      <c r="I810" s="8">
        <f>SUM(I803:I808)</f>
        <v>1429.1999999999998</v>
      </c>
      <c r="J810" s="14"/>
      <c r="K810" s="283"/>
    </row>
    <row r="811" spans="1:35" ht="15" x14ac:dyDescent="0.25">
      <c r="A811" s="266" t="s">
        <v>284</v>
      </c>
      <c r="B811" s="251" t="s">
        <v>213</v>
      </c>
      <c r="C811" s="283" t="s">
        <v>402</v>
      </c>
      <c r="D811" s="283" t="s">
        <v>207</v>
      </c>
      <c r="E811" s="222">
        <v>2015</v>
      </c>
      <c r="F811" s="156">
        <f t="shared" ref="F811:F816" si="144">SUM(G811:I811)</f>
        <v>80</v>
      </c>
      <c r="G811" s="7"/>
      <c r="H811" s="7"/>
      <c r="I811" s="7">
        <v>80</v>
      </c>
      <c r="J811" s="14"/>
      <c r="K811" s="283"/>
    </row>
    <row r="812" spans="1:35" ht="15" x14ac:dyDescent="0.25">
      <c r="A812" s="267"/>
      <c r="B812" s="294"/>
      <c r="C812" s="284"/>
      <c r="D812" s="238"/>
      <c r="E812" s="222">
        <v>2016</v>
      </c>
      <c r="F812" s="156">
        <f t="shared" si="144"/>
        <v>85</v>
      </c>
      <c r="G812" s="7"/>
      <c r="H812" s="7"/>
      <c r="I812" s="7">
        <v>85</v>
      </c>
      <c r="J812" s="14"/>
      <c r="K812" s="283"/>
    </row>
    <row r="813" spans="1:35" ht="15" x14ac:dyDescent="0.25">
      <c r="A813" s="267"/>
      <c r="B813" s="294"/>
      <c r="C813" s="284"/>
      <c r="D813" s="238"/>
      <c r="E813" s="222">
        <v>2017</v>
      </c>
      <c r="F813" s="156">
        <f t="shared" si="144"/>
        <v>60</v>
      </c>
      <c r="G813" s="7"/>
      <c r="H813" s="7"/>
      <c r="I813" s="7">
        <v>60</v>
      </c>
      <c r="J813" s="14"/>
      <c r="K813" s="283"/>
      <c r="L813" s="106"/>
    </row>
    <row r="814" spans="1:35" ht="15" x14ac:dyDescent="0.25">
      <c r="A814" s="267"/>
      <c r="B814" s="294"/>
      <c r="C814" s="284"/>
      <c r="D814" s="238"/>
      <c r="E814" s="222">
        <v>2018</v>
      </c>
      <c r="F814" s="156">
        <f t="shared" si="144"/>
        <v>95</v>
      </c>
      <c r="G814" s="7"/>
      <c r="H814" s="7"/>
      <c r="I814" s="7">
        <v>95</v>
      </c>
      <c r="J814" s="14"/>
      <c r="K814" s="283"/>
      <c r="L814" s="99"/>
    </row>
    <row r="815" spans="1:35" ht="15" x14ac:dyDescent="0.25">
      <c r="A815" s="267"/>
      <c r="B815" s="294"/>
      <c r="C815" s="284"/>
      <c r="D815" s="238"/>
      <c r="E815" s="222">
        <v>2019</v>
      </c>
      <c r="F815" s="156">
        <f t="shared" si="144"/>
        <v>0</v>
      </c>
      <c r="G815" s="7"/>
      <c r="H815" s="7"/>
      <c r="I815" s="7">
        <v>0</v>
      </c>
      <c r="J815" s="14"/>
      <c r="K815" s="283"/>
      <c r="L815" s="99"/>
    </row>
    <row r="816" spans="1:35" ht="15" x14ac:dyDescent="0.25">
      <c r="A816" s="267"/>
      <c r="B816" s="294"/>
      <c r="C816" s="284"/>
      <c r="D816" s="238"/>
      <c r="E816" s="222">
        <v>2020</v>
      </c>
      <c r="F816" s="156">
        <f t="shared" si="144"/>
        <v>0</v>
      </c>
      <c r="G816" s="7"/>
      <c r="H816" s="7"/>
      <c r="I816" s="7">
        <v>0</v>
      </c>
      <c r="J816" s="14"/>
      <c r="K816" s="283"/>
    </row>
    <row r="817" spans="1:12" ht="15" x14ac:dyDescent="0.25">
      <c r="A817" s="267"/>
      <c r="B817" s="294"/>
      <c r="C817" s="284"/>
      <c r="D817" s="238"/>
      <c r="E817" s="222">
        <v>2021</v>
      </c>
      <c r="F817" s="156">
        <f t="shared" ref="F817" si="145">SUM(G817:I817)</f>
        <v>0</v>
      </c>
      <c r="G817" s="7"/>
      <c r="H817" s="7"/>
      <c r="I817" s="7">
        <v>0</v>
      </c>
      <c r="J817" s="14"/>
      <c r="K817" s="283"/>
    </row>
    <row r="818" spans="1:12" ht="14.25" x14ac:dyDescent="0.2">
      <c r="A818" s="267"/>
      <c r="B818" s="294"/>
      <c r="C818" s="284"/>
      <c r="D818" s="238"/>
      <c r="E818" s="18" t="s">
        <v>18</v>
      </c>
      <c r="F818" s="140">
        <f>SUM(F811:F816)</f>
        <v>320</v>
      </c>
      <c r="G818" s="8"/>
      <c r="H818" s="8"/>
      <c r="I818" s="8">
        <f>SUM(I811:I816)</f>
        <v>320</v>
      </c>
      <c r="J818" s="14"/>
      <c r="K818" s="283"/>
    </row>
    <row r="819" spans="1:12" ht="15" x14ac:dyDescent="0.25">
      <c r="A819" s="276" t="s">
        <v>285</v>
      </c>
      <c r="B819" s="291" t="s">
        <v>212</v>
      </c>
      <c r="C819" s="241" t="s">
        <v>403</v>
      </c>
      <c r="D819" s="240" t="s">
        <v>207</v>
      </c>
      <c r="E819" s="208">
        <v>2015</v>
      </c>
      <c r="F819" s="160">
        <f t="shared" ref="F819:F824" si="146">SUM(G819:I819)</f>
        <v>47</v>
      </c>
      <c r="G819" s="143"/>
      <c r="H819" s="143"/>
      <c r="I819" s="143">
        <v>47</v>
      </c>
      <c r="J819" s="188"/>
      <c r="K819" s="240" t="s">
        <v>227</v>
      </c>
    </row>
    <row r="820" spans="1:12" ht="15" x14ac:dyDescent="0.25">
      <c r="A820" s="277"/>
      <c r="B820" s="291"/>
      <c r="C820" s="284"/>
      <c r="D820" s="254"/>
      <c r="E820" s="222">
        <v>2016</v>
      </c>
      <c r="F820" s="157">
        <f t="shared" si="146"/>
        <v>50</v>
      </c>
      <c r="G820" s="7"/>
      <c r="H820" s="7"/>
      <c r="I820" s="7">
        <v>50</v>
      </c>
      <c r="J820" s="81"/>
      <c r="K820" s="240"/>
    </row>
    <row r="821" spans="1:12" ht="15" x14ac:dyDescent="0.25">
      <c r="A821" s="277"/>
      <c r="B821" s="291"/>
      <c r="C821" s="284"/>
      <c r="D821" s="254"/>
      <c r="E821" s="222">
        <v>2017</v>
      </c>
      <c r="F821" s="157">
        <f t="shared" si="146"/>
        <v>40</v>
      </c>
      <c r="G821" s="7"/>
      <c r="H821" s="7"/>
      <c r="I821" s="7">
        <v>40</v>
      </c>
      <c r="J821" s="81"/>
      <c r="K821" s="240"/>
      <c r="L821" s="99"/>
    </row>
    <row r="822" spans="1:12" ht="15" x14ac:dyDescent="0.25">
      <c r="A822" s="277"/>
      <c r="B822" s="291"/>
      <c r="C822" s="284"/>
      <c r="D822" s="254"/>
      <c r="E822" s="222">
        <v>2018</v>
      </c>
      <c r="F822" s="157">
        <f t="shared" si="146"/>
        <v>56</v>
      </c>
      <c r="G822" s="7"/>
      <c r="H822" s="7"/>
      <c r="I822" s="7">
        <v>56</v>
      </c>
      <c r="J822" s="81"/>
      <c r="K822" s="240"/>
      <c r="L822" s="99"/>
    </row>
    <row r="823" spans="1:12" ht="15" x14ac:dyDescent="0.25">
      <c r="A823" s="277"/>
      <c r="B823" s="291"/>
      <c r="C823" s="284"/>
      <c r="D823" s="254"/>
      <c r="E823" s="222">
        <v>2019</v>
      </c>
      <c r="F823" s="157">
        <f t="shared" si="146"/>
        <v>59</v>
      </c>
      <c r="G823" s="7"/>
      <c r="H823" s="7"/>
      <c r="I823" s="7">
        <v>59</v>
      </c>
      <c r="J823" s="81"/>
      <c r="K823" s="240"/>
      <c r="L823" s="106"/>
    </row>
    <row r="824" spans="1:12" ht="15" x14ac:dyDescent="0.25">
      <c r="A824" s="277"/>
      <c r="B824" s="291"/>
      <c r="C824" s="284"/>
      <c r="D824" s="254"/>
      <c r="E824" s="222">
        <v>2020</v>
      </c>
      <c r="F824" s="157">
        <f t="shared" si="146"/>
        <v>24</v>
      </c>
      <c r="G824" s="7"/>
      <c r="H824" s="7"/>
      <c r="I824" s="7">
        <v>24</v>
      </c>
      <c r="J824" s="81"/>
      <c r="K824" s="240"/>
    </row>
    <row r="825" spans="1:12" ht="15" x14ac:dyDescent="0.25">
      <c r="A825" s="277"/>
      <c r="B825" s="291"/>
      <c r="C825" s="284"/>
      <c r="D825" s="254"/>
      <c r="E825" s="222">
        <v>2021</v>
      </c>
      <c r="F825" s="157">
        <f t="shared" ref="F825:F829" si="147">SUM(G825:I825)</f>
        <v>0</v>
      </c>
      <c r="G825" s="7"/>
      <c r="H825" s="7"/>
      <c r="I825" s="7">
        <f>24-24</f>
        <v>0</v>
      </c>
      <c r="J825" s="81"/>
      <c r="K825" s="240"/>
    </row>
    <row r="826" spans="1:12" ht="15" x14ac:dyDescent="0.25">
      <c r="A826" s="277"/>
      <c r="B826" s="291"/>
      <c r="C826" s="284"/>
      <c r="D826" s="254"/>
      <c r="E826" s="222">
        <v>2022</v>
      </c>
      <c r="F826" s="157">
        <f t="shared" si="147"/>
        <v>0</v>
      </c>
      <c r="G826" s="7"/>
      <c r="H826" s="7"/>
      <c r="I826" s="7">
        <f>24-24</f>
        <v>0</v>
      </c>
      <c r="J826" s="81"/>
      <c r="K826" s="240"/>
      <c r="L826" s="99"/>
    </row>
    <row r="827" spans="1:12" ht="15" x14ac:dyDescent="0.25">
      <c r="A827" s="277"/>
      <c r="B827" s="291"/>
      <c r="C827" s="284"/>
      <c r="D827" s="254"/>
      <c r="E827" s="222">
        <v>2023</v>
      </c>
      <c r="F827" s="157">
        <f t="shared" si="147"/>
        <v>24</v>
      </c>
      <c r="G827" s="7"/>
      <c r="H827" s="7"/>
      <c r="I827" s="7">
        <v>24</v>
      </c>
      <c r="J827" s="81"/>
      <c r="K827" s="240"/>
      <c r="L827" s="99"/>
    </row>
    <row r="828" spans="1:12" ht="15" x14ac:dyDescent="0.25">
      <c r="A828" s="277"/>
      <c r="B828" s="291"/>
      <c r="C828" s="284"/>
      <c r="D828" s="254"/>
      <c r="E828" s="222">
        <v>2024</v>
      </c>
      <c r="F828" s="157">
        <f t="shared" si="147"/>
        <v>24</v>
      </c>
      <c r="G828" s="7"/>
      <c r="H828" s="7"/>
      <c r="I828" s="7">
        <v>24</v>
      </c>
      <c r="J828" s="81"/>
      <c r="K828" s="240"/>
      <c r="L828" s="106"/>
    </row>
    <row r="829" spans="1:12" ht="15" x14ac:dyDescent="0.25">
      <c r="A829" s="277"/>
      <c r="B829" s="291"/>
      <c r="C829" s="284"/>
      <c r="D829" s="254"/>
      <c r="E829" s="222">
        <v>2025</v>
      </c>
      <c r="F829" s="157">
        <f t="shared" si="147"/>
        <v>24</v>
      </c>
      <c r="G829" s="7"/>
      <c r="H829" s="7"/>
      <c r="I829" s="7">
        <v>24</v>
      </c>
      <c r="J829" s="81"/>
      <c r="K829" s="240"/>
    </row>
    <row r="830" spans="1:12" ht="15.75" thickBot="1" x14ac:dyDescent="0.3">
      <c r="A830" s="277"/>
      <c r="B830" s="292"/>
      <c r="C830" s="284"/>
      <c r="D830" s="282"/>
      <c r="E830" s="18" t="s">
        <v>18</v>
      </c>
      <c r="F830" s="159">
        <f>SUM(F819:F829)</f>
        <v>348</v>
      </c>
      <c r="G830" s="7"/>
      <c r="H830" s="7"/>
      <c r="I830" s="8">
        <f>SUM(I819:I829)</f>
        <v>348</v>
      </c>
      <c r="J830" s="81"/>
      <c r="K830" s="240"/>
    </row>
    <row r="831" spans="1:12" ht="15" x14ac:dyDescent="0.25">
      <c r="A831" s="311" t="s">
        <v>286</v>
      </c>
      <c r="B831" s="492" t="s">
        <v>98</v>
      </c>
      <c r="C831" s="283" t="s">
        <v>403</v>
      </c>
      <c r="D831" s="239" t="s">
        <v>207</v>
      </c>
      <c r="E831" s="222">
        <v>2015</v>
      </c>
      <c r="F831" s="157">
        <f t="shared" ref="F831:F836" si="148">SUM(G831:I831)</f>
        <v>40.6</v>
      </c>
      <c r="G831" s="7"/>
      <c r="H831" s="7"/>
      <c r="I831" s="7">
        <v>40.6</v>
      </c>
      <c r="J831" s="14"/>
      <c r="K831" s="240"/>
    </row>
    <row r="832" spans="1:12" ht="15" x14ac:dyDescent="0.25">
      <c r="A832" s="277"/>
      <c r="B832" s="280"/>
      <c r="C832" s="284"/>
      <c r="D832" s="254"/>
      <c r="E832" s="222">
        <v>2016</v>
      </c>
      <c r="F832" s="157">
        <f t="shared" si="148"/>
        <v>50</v>
      </c>
      <c r="G832" s="7"/>
      <c r="H832" s="7"/>
      <c r="I832" s="7">
        <v>50</v>
      </c>
      <c r="J832" s="14"/>
      <c r="K832" s="240"/>
    </row>
    <row r="833" spans="1:12" ht="15" x14ac:dyDescent="0.25">
      <c r="A833" s="277"/>
      <c r="B833" s="280"/>
      <c r="C833" s="284"/>
      <c r="D833" s="254"/>
      <c r="E833" s="222">
        <v>2017</v>
      </c>
      <c r="F833" s="157">
        <f t="shared" si="148"/>
        <v>40</v>
      </c>
      <c r="G833" s="7"/>
      <c r="H833" s="7"/>
      <c r="I833" s="7">
        <v>40</v>
      </c>
      <c r="J833" s="14"/>
      <c r="K833" s="240"/>
      <c r="L833" s="99"/>
    </row>
    <row r="834" spans="1:12" ht="15" x14ac:dyDescent="0.25">
      <c r="A834" s="277"/>
      <c r="B834" s="280"/>
      <c r="C834" s="284"/>
      <c r="D834" s="254"/>
      <c r="E834" s="222">
        <v>2018</v>
      </c>
      <c r="F834" s="157">
        <f t="shared" si="148"/>
        <v>54</v>
      </c>
      <c r="G834" s="7"/>
      <c r="H834" s="7"/>
      <c r="I834" s="7">
        <v>54</v>
      </c>
      <c r="J834" s="14"/>
      <c r="K834" s="240"/>
      <c r="L834" s="99"/>
    </row>
    <row r="835" spans="1:12" ht="15" x14ac:dyDescent="0.25">
      <c r="A835" s="277"/>
      <c r="B835" s="280"/>
      <c r="C835" s="284"/>
      <c r="D835" s="254"/>
      <c r="E835" s="222">
        <v>2019</v>
      </c>
      <c r="F835" s="157">
        <f t="shared" si="148"/>
        <v>56</v>
      </c>
      <c r="G835" s="7"/>
      <c r="H835" s="7"/>
      <c r="I835" s="7">
        <v>56</v>
      </c>
      <c r="J835" s="14"/>
      <c r="K835" s="240"/>
      <c r="L835" s="99"/>
    </row>
    <row r="836" spans="1:12" ht="15" x14ac:dyDescent="0.25">
      <c r="A836" s="277"/>
      <c r="B836" s="280"/>
      <c r="C836" s="284"/>
      <c r="D836" s="254"/>
      <c r="E836" s="222">
        <v>2020</v>
      </c>
      <c r="F836" s="157">
        <f t="shared" si="148"/>
        <v>26</v>
      </c>
      <c r="G836" s="7"/>
      <c r="H836" s="7"/>
      <c r="I836" s="7">
        <v>26</v>
      </c>
      <c r="J836" s="14"/>
      <c r="K836" s="240"/>
      <c r="L836" s="106"/>
    </row>
    <row r="837" spans="1:12" ht="15" x14ac:dyDescent="0.25">
      <c r="A837" s="277"/>
      <c r="B837" s="280"/>
      <c r="C837" s="284"/>
      <c r="D837" s="254"/>
      <c r="E837" s="222">
        <v>2021</v>
      </c>
      <c r="F837" s="157">
        <f t="shared" ref="F837:F841" si="149">SUM(G837:I837)</f>
        <v>0</v>
      </c>
      <c r="G837" s="7"/>
      <c r="H837" s="7"/>
      <c r="I837" s="7">
        <f>26-26</f>
        <v>0</v>
      </c>
      <c r="J837" s="14"/>
      <c r="K837" s="240"/>
    </row>
    <row r="838" spans="1:12" ht="15" x14ac:dyDescent="0.25">
      <c r="A838" s="277"/>
      <c r="B838" s="280"/>
      <c r="C838" s="284"/>
      <c r="D838" s="254"/>
      <c r="E838" s="222">
        <v>2022</v>
      </c>
      <c r="F838" s="157">
        <f t="shared" si="149"/>
        <v>0</v>
      </c>
      <c r="G838" s="7"/>
      <c r="H838" s="7"/>
      <c r="I838" s="7">
        <f>26-26</f>
        <v>0</v>
      </c>
      <c r="J838" s="14"/>
      <c r="K838" s="240"/>
      <c r="L838" s="99"/>
    </row>
    <row r="839" spans="1:12" ht="15" x14ac:dyDescent="0.25">
      <c r="A839" s="277"/>
      <c r="B839" s="280"/>
      <c r="C839" s="284"/>
      <c r="D839" s="254"/>
      <c r="E839" s="222">
        <v>2023</v>
      </c>
      <c r="F839" s="157">
        <f t="shared" si="149"/>
        <v>26</v>
      </c>
      <c r="G839" s="7"/>
      <c r="H839" s="7"/>
      <c r="I839" s="7">
        <v>26</v>
      </c>
      <c r="J839" s="14"/>
      <c r="K839" s="240"/>
      <c r="L839" s="99"/>
    </row>
    <row r="840" spans="1:12" ht="15" x14ac:dyDescent="0.25">
      <c r="A840" s="277"/>
      <c r="B840" s="280"/>
      <c r="C840" s="284"/>
      <c r="D840" s="254"/>
      <c r="E840" s="222">
        <v>2024</v>
      </c>
      <c r="F840" s="157">
        <f t="shared" si="149"/>
        <v>26</v>
      </c>
      <c r="G840" s="7"/>
      <c r="H840" s="7"/>
      <c r="I840" s="7">
        <v>26</v>
      </c>
      <c r="J840" s="14"/>
      <c r="K840" s="240"/>
      <c r="L840" s="99"/>
    </row>
    <row r="841" spans="1:12" ht="15" x14ac:dyDescent="0.25">
      <c r="A841" s="277"/>
      <c r="B841" s="280"/>
      <c r="C841" s="284"/>
      <c r="D841" s="254"/>
      <c r="E841" s="222">
        <v>2025</v>
      </c>
      <c r="F841" s="157">
        <f t="shared" si="149"/>
        <v>26</v>
      </c>
      <c r="G841" s="7"/>
      <c r="H841" s="7"/>
      <c r="I841" s="7">
        <v>26</v>
      </c>
      <c r="J841" s="14"/>
      <c r="K841" s="240"/>
      <c r="L841" s="106"/>
    </row>
    <row r="842" spans="1:12" ht="15" thickBot="1" x14ac:dyDescent="0.25">
      <c r="A842" s="277"/>
      <c r="B842" s="493"/>
      <c r="C842" s="284"/>
      <c r="D842" s="282"/>
      <c r="E842" s="18" t="s">
        <v>18</v>
      </c>
      <c r="F842" s="159">
        <f>SUM(F831:F841)</f>
        <v>344.6</v>
      </c>
      <c r="G842" s="8"/>
      <c r="H842" s="8"/>
      <c r="I842" s="8">
        <f>SUM(I831:I841)</f>
        <v>344.6</v>
      </c>
      <c r="J842" s="14"/>
      <c r="K842" s="240"/>
    </row>
    <row r="843" spans="1:12" ht="15" x14ac:dyDescent="0.25">
      <c r="A843" s="311" t="s">
        <v>287</v>
      </c>
      <c r="B843" s="492" t="s">
        <v>99</v>
      </c>
      <c r="C843" s="283" t="s">
        <v>61</v>
      </c>
      <c r="D843" s="239" t="s">
        <v>207</v>
      </c>
      <c r="E843" s="222">
        <v>2015</v>
      </c>
      <c r="F843" s="157">
        <f t="shared" ref="F843:F848" si="150">SUM(G843:I843)</f>
        <v>5.0999999999999996</v>
      </c>
      <c r="G843" s="7"/>
      <c r="H843" s="7"/>
      <c r="I843" s="7">
        <v>5.0999999999999996</v>
      </c>
      <c r="J843" s="14"/>
      <c r="K843" s="240"/>
    </row>
    <row r="844" spans="1:12" ht="15" x14ac:dyDescent="0.25">
      <c r="A844" s="277"/>
      <c r="B844" s="280"/>
      <c r="C844" s="284"/>
      <c r="D844" s="254"/>
      <c r="E844" s="222">
        <v>2016</v>
      </c>
      <c r="F844" s="157">
        <f t="shared" si="150"/>
        <v>5.3</v>
      </c>
      <c r="G844" s="7"/>
      <c r="H844" s="7"/>
      <c r="I844" s="7">
        <v>5.3</v>
      </c>
      <c r="J844" s="14"/>
      <c r="K844" s="240"/>
    </row>
    <row r="845" spans="1:12" ht="15" x14ac:dyDescent="0.25">
      <c r="A845" s="277"/>
      <c r="B845" s="280"/>
      <c r="C845" s="284"/>
      <c r="D845" s="254"/>
      <c r="E845" s="222">
        <v>2017</v>
      </c>
      <c r="F845" s="157">
        <f t="shared" si="150"/>
        <v>5</v>
      </c>
      <c r="G845" s="7"/>
      <c r="H845" s="7"/>
      <c r="I845" s="7">
        <v>5</v>
      </c>
      <c r="J845" s="14"/>
      <c r="K845" s="240"/>
      <c r="L845" s="99"/>
    </row>
    <row r="846" spans="1:12" ht="15" x14ac:dyDescent="0.25">
      <c r="A846" s="277"/>
      <c r="B846" s="280"/>
      <c r="C846" s="284"/>
      <c r="D846" s="254"/>
      <c r="E846" s="222">
        <v>2018</v>
      </c>
      <c r="F846" s="157">
        <f t="shared" si="150"/>
        <v>0</v>
      </c>
      <c r="G846" s="7"/>
      <c r="H846" s="7"/>
      <c r="I846" s="7">
        <v>0</v>
      </c>
      <c r="J846" s="14"/>
      <c r="K846" s="240"/>
      <c r="L846" s="106"/>
    </row>
    <row r="847" spans="1:12" ht="15" x14ac:dyDescent="0.25">
      <c r="A847" s="277"/>
      <c r="B847" s="280"/>
      <c r="C847" s="284"/>
      <c r="D847" s="254"/>
      <c r="E847" s="222">
        <v>2019</v>
      </c>
      <c r="F847" s="157">
        <f t="shared" si="150"/>
        <v>0</v>
      </c>
      <c r="G847" s="7"/>
      <c r="H847" s="7"/>
      <c r="I847" s="7">
        <v>0</v>
      </c>
      <c r="J847" s="14"/>
      <c r="K847" s="240"/>
      <c r="L847" s="99"/>
    </row>
    <row r="848" spans="1:12" ht="15" x14ac:dyDescent="0.25">
      <c r="A848" s="277"/>
      <c r="B848" s="280"/>
      <c r="C848" s="284"/>
      <c r="D848" s="254"/>
      <c r="E848" s="222">
        <v>2020</v>
      </c>
      <c r="F848" s="157">
        <f t="shared" si="150"/>
        <v>0</v>
      </c>
      <c r="G848" s="7"/>
      <c r="H848" s="7"/>
      <c r="I848" s="7">
        <v>0</v>
      </c>
      <c r="J848" s="14"/>
      <c r="K848" s="240"/>
    </row>
    <row r="849" spans="1:19" ht="14.25" x14ac:dyDescent="0.2">
      <c r="A849" s="277"/>
      <c r="B849" s="280"/>
      <c r="C849" s="285"/>
      <c r="D849" s="282"/>
      <c r="E849" s="18" t="s">
        <v>18</v>
      </c>
      <c r="F849" s="159">
        <f>SUM(F843:F848)</f>
        <v>15.399999999999999</v>
      </c>
      <c r="G849" s="8"/>
      <c r="H849" s="8"/>
      <c r="I849" s="8">
        <f>SUM(I843:I848)</f>
        <v>15.399999999999999</v>
      </c>
      <c r="J849" s="14"/>
      <c r="K849" s="240"/>
    </row>
    <row r="850" spans="1:19" ht="15" x14ac:dyDescent="0.25">
      <c r="A850" s="311" t="s">
        <v>288</v>
      </c>
      <c r="B850" s="251" t="s">
        <v>100</v>
      </c>
      <c r="C850" s="283" t="s">
        <v>61</v>
      </c>
      <c r="D850" s="239" t="s">
        <v>207</v>
      </c>
      <c r="E850" s="222">
        <v>2015</v>
      </c>
      <c r="F850" s="157">
        <f t="shared" ref="F850:F855" si="151">SUM(G850:I850)</f>
        <v>4.5</v>
      </c>
      <c r="G850" s="7"/>
      <c r="H850" s="7"/>
      <c r="I850" s="7">
        <v>4.5</v>
      </c>
      <c r="J850" s="14"/>
      <c r="K850" s="240"/>
    </row>
    <row r="851" spans="1:19" ht="15" x14ac:dyDescent="0.25">
      <c r="A851" s="277"/>
      <c r="B851" s="294"/>
      <c r="C851" s="284"/>
      <c r="D851" s="254"/>
      <c r="E851" s="222">
        <v>2016</v>
      </c>
      <c r="F851" s="157">
        <f t="shared" si="151"/>
        <v>4.5999999999999996</v>
      </c>
      <c r="G851" s="7"/>
      <c r="H851" s="7"/>
      <c r="I851" s="7">
        <v>4.5999999999999996</v>
      </c>
      <c r="J851" s="14"/>
      <c r="K851" s="240"/>
    </row>
    <row r="852" spans="1:19" ht="15" x14ac:dyDescent="0.25">
      <c r="A852" s="277"/>
      <c r="B852" s="294"/>
      <c r="C852" s="284"/>
      <c r="D852" s="254"/>
      <c r="E852" s="222">
        <v>2017</v>
      </c>
      <c r="F852" s="157">
        <f t="shared" si="151"/>
        <v>4</v>
      </c>
      <c r="G852" s="7"/>
      <c r="H852" s="7"/>
      <c r="I852" s="7">
        <v>4</v>
      </c>
      <c r="J852" s="14"/>
      <c r="K852" s="240"/>
      <c r="L852" s="106"/>
    </row>
    <row r="853" spans="1:19" ht="15" x14ac:dyDescent="0.25">
      <c r="A853" s="277"/>
      <c r="B853" s="294"/>
      <c r="C853" s="284"/>
      <c r="D853" s="254"/>
      <c r="E853" s="222">
        <v>2018</v>
      </c>
      <c r="F853" s="157">
        <f t="shared" si="151"/>
        <v>0</v>
      </c>
      <c r="G853" s="7"/>
      <c r="H853" s="7"/>
      <c r="I853" s="7">
        <v>0</v>
      </c>
      <c r="J853" s="14"/>
      <c r="K853" s="240"/>
      <c r="L853" s="99"/>
    </row>
    <row r="854" spans="1:19" ht="15" x14ac:dyDescent="0.25">
      <c r="A854" s="277"/>
      <c r="B854" s="294"/>
      <c r="C854" s="284"/>
      <c r="D854" s="254"/>
      <c r="E854" s="222">
        <v>2019</v>
      </c>
      <c r="F854" s="157">
        <f t="shared" si="151"/>
        <v>0</v>
      </c>
      <c r="G854" s="7"/>
      <c r="H854" s="7"/>
      <c r="I854" s="7">
        <v>0</v>
      </c>
      <c r="J854" s="14"/>
      <c r="K854" s="240"/>
      <c r="L854" s="99"/>
    </row>
    <row r="855" spans="1:19" ht="15" x14ac:dyDescent="0.25">
      <c r="A855" s="277"/>
      <c r="B855" s="294"/>
      <c r="C855" s="284"/>
      <c r="D855" s="254"/>
      <c r="E855" s="222">
        <v>2020</v>
      </c>
      <c r="F855" s="157">
        <f t="shared" si="151"/>
        <v>0</v>
      </c>
      <c r="G855" s="7"/>
      <c r="H855" s="7"/>
      <c r="I855" s="7">
        <v>0</v>
      </c>
      <c r="J855" s="14"/>
      <c r="K855" s="240"/>
    </row>
    <row r="856" spans="1:19" ht="14.25" x14ac:dyDescent="0.2">
      <c r="A856" s="277"/>
      <c r="B856" s="294"/>
      <c r="C856" s="284"/>
      <c r="D856" s="282"/>
      <c r="E856" s="18" t="s">
        <v>18</v>
      </c>
      <c r="F856" s="159">
        <f>SUM(F850:F855)</f>
        <v>13.1</v>
      </c>
      <c r="G856" s="8"/>
      <c r="H856" s="8"/>
      <c r="I856" s="8">
        <f>SUM(I850:I855)</f>
        <v>13.1</v>
      </c>
      <c r="J856" s="14"/>
      <c r="K856" s="241"/>
    </row>
    <row r="857" spans="1:19" ht="15" x14ac:dyDescent="0.25">
      <c r="A857" s="311" t="s">
        <v>289</v>
      </c>
      <c r="B857" s="251" t="s">
        <v>0</v>
      </c>
      <c r="C857" s="283" t="s">
        <v>61</v>
      </c>
      <c r="D857" s="239" t="s">
        <v>207</v>
      </c>
      <c r="E857" s="222">
        <v>2015</v>
      </c>
      <c r="F857" s="163"/>
      <c r="G857" s="164"/>
      <c r="H857" s="164"/>
      <c r="I857" s="164"/>
      <c r="J857" s="2"/>
      <c r="K857" s="239" t="s">
        <v>173</v>
      </c>
    </row>
    <row r="858" spans="1:19" ht="15" x14ac:dyDescent="0.25">
      <c r="A858" s="277"/>
      <c r="B858" s="294"/>
      <c r="C858" s="284"/>
      <c r="D858" s="254"/>
      <c r="E858" s="222">
        <v>2016</v>
      </c>
      <c r="F858" s="163"/>
      <c r="G858" s="164"/>
      <c r="H858" s="164"/>
      <c r="I858" s="164"/>
      <c r="J858" s="2"/>
      <c r="K858" s="240"/>
    </row>
    <row r="859" spans="1:19" ht="15" x14ac:dyDescent="0.25">
      <c r="A859" s="277"/>
      <c r="B859" s="294"/>
      <c r="C859" s="284"/>
      <c r="D859" s="254"/>
      <c r="E859" s="222">
        <v>2017</v>
      </c>
      <c r="F859" s="163"/>
      <c r="G859" s="164"/>
      <c r="H859" s="164"/>
      <c r="I859" s="164"/>
      <c r="J859" s="2"/>
      <c r="K859" s="240"/>
    </row>
    <row r="860" spans="1:19" ht="15" x14ac:dyDescent="0.25">
      <c r="A860" s="277"/>
      <c r="B860" s="294"/>
      <c r="C860" s="284"/>
      <c r="D860" s="254"/>
      <c r="E860" s="222">
        <v>2018</v>
      </c>
      <c r="F860" s="163"/>
      <c r="G860" s="164"/>
      <c r="H860" s="164"/>
      <c r="I860" s="164"/>
      <c r="J860" s="2"/>
      <c r="K860" s="240"/>
      <c r="L860" s="135"/>
      <c r="M860" s="127"/>
    </row>
    <row r="861" spans="1:19" ht="15" x14ac:dyDescent="0.25">
      <c r="A861" s="277"/>
      <c r="B861" s="294"/>
      <c r="C861" s="284"/>
      <c r="D861" s="254"/>
      <c r="E861" s="222">
        <v>2019</v>
      </c>
      <c r="F861" s="163"/>
      <c r="G861" s="164"/>
      <c r="H861" s="164"/>
      <c r="I861" s="164"/>
      <c r="J861" s="2"/>
      <c r="K861" s="240"/>
    </row>
    <row r="862" spans="1:19" ht="15" x14ac:dyDescent="0.25">
      <c r="A862" s="277"/>
      <c r="B862" s="294"/>
      <c r="C862" s="284"/>
      <c r="D862" s="254"/>
      <c r="E862" s="222">
        <v>2020</v>
      </c>
      <c r="F862" s="163"/>
      <c r="G862" s="164"/>
      <c r="H862" s="164"/>
      <c r="I862" s="164"/>
      <c r="J862" s="2"/>
      <c r="K862" s="240"/>
    </row>
    <row r="863" spans="1:19" ht="15" x14ac:dyDescent="0.25">
      <c r="A863" s="278"/>
      <c r="B863" s="294"/>
      <c r="C863" s="284"/>
      <c r="D863" s="282"/>
      <c r="E863" s="18" t="s">
        <v>18</v>
      </c>
      <c r="F863" s="163"/>
      <c r="G863" s="164"/>
      <c r="H863" s="164"/>
      <c r="I863" s="164"/>
      <c r="J863" s="2"/>
      <c r="K863" s="241"/>
      <c r="P863" s="99" t="s">
        <v>315</v>
      </c>
    </row>
    <row r="864" spans="1:19" ht="15" customHeight="1" thickBot="1" x14ac:dyDescent="0.25">
      <c r="A864" s="317" t="s">
        <v>189</v>
      </c>
      <c r="B864" s="320"/>
      <c r="C864" s="320"/>
      <c r="D864" s="320"/>
      <c r="E864" s="54" t="s">
        <v>403</v>
      </c>
      <c r="F864" s="140">
        <f>SUM(G864:I864)</f>
        <v>2470.2999999999997</v>
      </c>
      <c r="G864" s="140"/>
      <c r="H864" s="140">
        <f>H856+H849+H842+H830+H818+H810+H863</f>
        <v>0</v>
      </c>
      <c r="I864" s="140">
        <f>I856+I849+I842+I830+I818+I810+I863</f>
        <v>2470.2999999999997</v>
      </c>
      <c r="J864" s="16"/>
      <c r="K864" s="82"/>
      <c r="L864" s="99" t="s">
        <v>313</v>
      </c>
      <c r="N864" s="99" t="s">
        <v>310</v>
      </c>
      <c r="P864" s="99" t="s">
        <v>311</v>
      </c>
      <c r="Q864" s="99" t="s">
        <v>312</v>
      </c>
      <c r="S864" s="99" t="s">
        <v>314</v>
      </c>
    </row>
    <row r="865" spans="1:19" ht="14.25" customHeight="1" thickBot="1" x14ac:dyDescent="0.25">
      <c r="A865" s="245" t="s">
        <v>326</v>
      </c>
      <c r="B865" s="246"/>
      <c r="C865" s="246"/>
      <c r="D865" s="246"/>
      <c r="E865" s="246"/>
      <c r="F865" s="246"/>
      <c r="G865" s="246"/>
      <c r="H865" s="246"/>
      <c r="I865" s="246"/>
      <c r="J865" s="246"/>
      <c r="K865" s="247"/>
      <c r="L865" s="99"/>
      <c r="N865" s="99"/>
      <c r="P865" s="99"/>
      <c r="Q865" s="99"/>
      <c r="S865" s="99"/>
    </row>
    <row r="866" spans="1:19" ht="15" customHeight="1" x14ac:dyDescent="0.25">
      <c r="A866" s="527" t="s">
        <v>147</v>
      </c>
      <c r="B866" s="250" t="s">
        <v>378</v>
      </c>
      <c r="C866" s="283" t="s">
        <v>294</v>
      </c>
      <c r="D866" s="239" t="s">
        <v>207</v>
      </c>
      <c r="E866" s="222">
        <v>2017</v>
      </c>
      <c r="F866" s="142">
        <f>G866+H866+I866+J866</f>
        <v>240.5</v>
      </c>
      <c r="G866" s="140"/>
      <c r="H866" s="140"/>
      <c r="I866" s="142">
        <v>240.5</v>
      </c>
      <c r="J866" s="16"/>
      <c r="K866" s="289" t="s">
        <v>146</v>
      </c>
      <c r="L866" s="106"/>
      <c r="N866" s="99"/>
      <c r="P866" s="99"/>
      <c r="Q866" s="99"/>
      <c r="S866" s="99"/>
    </row>
    <row r="867" spans="1:19" ht="15" customHeight="1" x14ac:dyDescent="0.25">
      <c r="A867" s="248"/>
      <c r="B867" s="251"/>
      <c r="C867" s="284"/>
      <c r="D867" s="254"/>
      <c r="E867" s="222">
        <v>2018</v>
      </c>
      <c r="F867" s="142">
        <f>I867</f>
        <v>0</v>
      </c>
      <c r="G867" s="141"/>
      <c r="H867" s="141"/>
      <c r="I867" s="142">
        <f>100-100</f>
        <v>0</v>
      </c>
      <c r="J867" s="16"/>
      <c r="K867" s="290"/>
      <c r="L867" s="99"/>
      <c r="N867" s="99"/>
      <c r="P867" s="99"/>
      <c r="Q867" s="99"/>
      <c r="S867" s="99"/>
    </row>
    <row r="868" spans="1:19" ht="15" customHeight="1" x14ac:dyDescent="0.25">
      <c r="A868" s="248"/>
      <c r="B868" s="251"/>
      <c r="C868" s="284"/>
      <c r="D868" s="254"/>
      <c r="E868" s="222">
        <v>2019</v>
      </c>
      <c r="F868" s="142">
        <f>I868</f>
        <v>0</v>
      </c>
      <c r="G868" s="142"/>
      <c r="H868" s="142"/>
      <c r="I868" s="142">
        <f>310-310</f>
        <v>0</v>
      </c>
      <c r="J868" s="16"/>
      <c r="K868" s="290"/>
      <c r="L868" s="99"/>
      <c r="N868" s="99"/>
      <c r="P868" s="99"/>
      <c r="Q868" s="99"/>
      <c r="S868" s="99"/>
    </row>
    <row r="869" spans="1:19" ht="15" customHeight="1" x14ac:dyDescent="0.25">
      <c r="A869" s="248"/>
      <c r="B869" s="251"/>
      <c r="C869" s="284"/>
      <c r="D869" s="254"/>
      <c r="E869" s="222">
        <v>2020</v>
      </c>
      <c r="F869" s="142">
        <f t="shared" ref="F869:F874" si="152">I869</f>
        <v>240</v>
      </c>
      <c r="G869" s="140"/>
      <c r="H869" s="140"/>
      <c r="I869" s="156">
        <v>240</v>
      </c>
      <c r="J869" s="16"/>
      <c r="K869" s="290"/>
      <c r="L869" s="99"/>
      <c r="N869" s="99"/>
      <c r="P869" s="99"/>
      <c r="Q869" s="99"/>
      <c r="S869" s="99"/>
    </row>
    <row r="870" spans="1:19" ht="15" customHeight="1" x14ac:dyDescent="0.25">
      <c r="A870" s="248"/>
      <c r="B870" s="251"/>
      <c r="C870" s="284"/>
      <c r="D870" s="254"/>
      <c r="E870" s="222">
        <v>2021</v>
      </c>
      <c r="F870" s="142">
        <f t="shared" si="152"/>
        <v>0</v>
      </c>
      <c r="G870" s="140"/>
      <c r="H870" s="140"/>
      <c r="I870" s="142">
        <f>240-240</f>
        <v>0</v>
      </c>
      <c r="J870" s="16"/>
      <c r="K870" s="290"/>
      <c r="L870" s="106"/>
      <c r="N870" s="99"/>
      <c r="P870" s="99"/>
      <c r="Q870" s="99"/>
      <c r="S870" s="99"/>
    </row>
    <row r="871" spans="1:19" ht="15" customHeight="1" x14ac:dyDescent="0.25">
      <c r="A871" s="248"/>
      <c r="B871" s="251"/>
      <c r="C871" s="284"/>
      <c r="D871" s="254"/>
      <c r="E871" s="222">
        <v>2022</v>
      </c>
      <c r="F871" s="142">
        <f t="shared" si="152"/>
        <v>0</v>
      </c>
      <c r="G871" s="141"/>
      <c r="H871" s="141"/>
      <c r="I871" s="142">
        <f>240-240</f>
        <v>0</v>
      </c>
      <c r="J871" s="16"/>
      <c r="K871" s="290"/>
      <c r="L871" s="99"/>
      <c r="N871" s="99"/>
      <c r="P871" s="99"/>
      <c r="Q871" s="99"/>
      <c r="S871" s="99"/>
    </row>
    <row r="872" spans="1:19" ht="14.25" customHeight="1" x14ac:dyDescent="0.25">
      <c r="A872" s="248"/>
      <c r="B872" s="251"/>
      <c r="C872" s="284"/>
      <c r="D872" s="254"/>
      <c r="E872" s="222">
        <v>2023</v>
      </c>
      <c r="F872" s="142">
        <f t="shared" si="152"/>
        <v>240</v>
      </c>
      <c r="G872" s="142"/>
      <c r="H872" s="142"/>
      <c r="I872" s="142">
        <v>240</v>
      </c>
      <c r="J872" s="16"/>
      <c r="K872" s="290"/>
      <c r="L872" s="99"/>
      <c r="N872" s="99"/>
      <c r="P872" s="99"/>
      <c r="Q872" s="99"/>
      <c r="S872" s="99"/>
    </row>
    <row r="873" spans="1:19" ht="15.75" customHeight="1" x14ac:dyDescent="0.25">
      <c r="A873" s="248"/>
      <c r="B873" s="251"/>
      <c r="C873" s="284"/>
      <c r="D873" s="254"/>
      <c r="E873" s="222">
        <v>2024</v>
      </c>
      <c r="F873" s="142">
        <f t="shared" si="152"/>
        <v>240</v>
      </c>
      <c r="G873" s="140"/>
      <c r="H873" s="140"/>
      <c r="I873" s="156">
        <v>240</v>
      </c>
      <c r="J873" s="16"/>
      <c r="K873" s="290"/>
      <c r="L873" s="99"/>
      <c r="N873" s="99"/>
      <c r="P873" s="99"/>
      <c r="Q873" s="99"/>
      <c r="S873" s="99"/>
    </row>
    <row r="874" spans="1:19" ht="15" customHeight="1" x14ac:dyDescent="0.25">
      <c r="A874" s="248"/>
      <c r="B874" s="251"/>
      <c r="C874" s="284"/>
      <c r="D874" s="254"/>
      <c r="E874" s="222">
        <v>2025</v>
      </c>
      <c r="F874" s="142">
        <f t="shared" si="152"/>
        <v>240</v>
      </c>
      <c r="G874" s="140"/>
      <c r="H874" s="140"/>
      <c r="I874" s="156">
        <v>240</v>
      </c>
      <c r="J874" s="16"/>
      <c r="K874" s="290"/>
      <c r="L874" s="99"/>
      <c r="N874" s="99"/>
      <c r="P874" s="99"/>
      <c r="Q874" s="99"/>
      <c r="S874" s="99"/>
    </row>
    <row r="875" spans="1:19" ht="18" customHeight="1" thickBot="1" x14ac:dyDescent="0.25">
      <c r="A875" s="248"/>
      <c r="B875" s="251"/>
      <c r="C875" s="284"/>
      <c r="D875" s="254"/>
      <c r="E875" s="528" t="s">
        <v>18</v>
      </c>
      <c r="F875" s="530">
        <f>SUM(F866:F874)</f>
        <v>1200.5</v>
      </c>
      <c r="G875" s="532"/>
      <c r="H875" s="532"/>
      <c r="I875" s="530">
        <f>SUM(I866:I874)</f>
        <v>1200.5</v>
      </c>
      <c r="J875" s="532"/>
      <c r="K875" s="290"/>
      <c r="L875" s="99"/>
      <c r="N875" s="99"/>
      <c r="P875" s="99"/>
      <c r="Q875" s="99"/>
      <c r="S875" s="99"/>
    </row>
    <row r="876" spans="1:19" ht="6.75" hidden="1" customHeight="1" thickBot="1" x14ac:dyDescent="0.25">
      <c r="A876" s="248"/>
      <c r="B876" s="251"/>
      <c r="C876" s="284"/>
      <c r="D876" s="254"/>
      <c r="E876" s="529"/>
      <c r="F876" s="531"/>
      <c r="G876" s="533"/>
      <c r="H876" s="533"/>
      <c r="I876" s="531"/>
      <c r="J876" s="533"/>
      <c r="K876" s="290"/>
      <c r="L876" s="99"/>
      <c r="N876" s="99"/>
      <c r="P876" s="99"/>
      <c r="Q876" s="99"/>
      <c r="S876" s="99"/>
    </row>
    <row r="877" spans="1:19" ht="13.5" hidden="1" customHeight="1" x14ac:dyDescent="0.2">
      <c r="A877" s="248"/>
      <c r="B877" s="252"/>
      <c r="C877" s="285"/>
      <c r="D877" s="254"/>
      <c r="E877" s="529"/>
      <c r="F877" s="531"/>
      <c r="G877" s="533"/>
      <c r="H877" s="533"/>
      <c r="I877" s="531"/>
      <c r="J877" s="533"/>
      <c r="K877" s="290"/>
      <c r="L877" s="99"/>
      <c r="N877" s="99"/>
      <c r="P877" s="99"/>
      <c r="Q877" s="99"/>
      <c r="S877" s="99"/>
    </row>
    <row r="878" spans="1:19" ht="26.25" thickBot="1" x14ac:dyDescent="0.25">
      <c r="A878" s="481" t="s">
        <v>209</v>
      </c>
      <c r="B878" s="482"/>
      <c r="C878" s="482"/>
      <c r="D878" s="483"/>
      <c r="E878" s="193" t="s">
        <v>403</v>
      </c>
      <c r="F878" s="194">
        <f>F875</f>
        <v>1200.5</v>
      </c>
      <c r="G878" s="194"/>
      <c r="H878" s="194">
        <f>H875</f>
        <v>0</v>
      </c>
      <c r="I878" s="194">
        <f>I875</f>
        <v>1200.5</v>
      </c>
      <c r="J878" s="94"/>
      <c r="K878" s="175"/>
      <c r="L878" s="126"/>
      <c r="M878" s="127"/>
      <c r="N878" s="99"/>
      <c r="P878" s="99"/>
      <c r="Q878" s="99"/>
      <c r="S878" s="99"/>
    </row>
    <row r="879" spans="1:19" ht="14.25" customHeight="1" thickBot="1" x14ac:dyDescent="0.25">
      <c r="A879" s="245" t="s">
        <v>428</v>
      </c>
      <c r="B879" s="246"/>
      <c r="C879" s="246"/>
      <c r="D879" s="246"/>
      <c r="E879" s="246"/>
      <c r="F879" s="246"/>
      <c r="G879" s="246"/>
      <c r="H879" s="246"/>
      <c r="I879" s="246"/>
      <c r="J879" s="246"/>
      <c r="K879" s="247"/>
      <c r="L879" s="99"/>
      <c r="N879" s="99"/>
      <c r="P879" s="99"/>
      <c r="Q879" s="99"/>
      <c r="S879" s="99"/>
    </row>
    <row r="880" spans="1:19" ht="15" customHeight="1" x14ac:dyDescent="0.25">
      <c r="A880" s="248" t="s">
        <v>395</v>
      </c>
      <c r="B880" s="251" t="s">
        <v>429</v>
      </c>
      <c r="C880" s="284"/>
      <c r="D880" s="254"/>
      <c r="E880" s="222">
        <v>2019</v>
      </c>
      <c r="F880" s="142">
        <f>I880+H880</f>
        <v>273.10000000000002</v>
      </c>
      <c r="G880" s="142"/>
      <c r="H880" s="142">
        <v>270.3</v>
      </c>
      <c r="I880" s="142">
        <f>2.7+0.1</f>
        <v>2.8000000000000003</v>
      </c>
      <c r="J880" s="16"/>
      <c r="K880" s="290" t="s">
        <v>431</v>
      </c>
      <c r="L880" s="99"/>
      <c r="N880" s="99"/>
      <c r="P880" s="99"/>
      <c r="Q880" s="99"/>
      <c r="S880" s="99"/>
    </row>
    <row r="881" spans="1:35" ht="15" customHeight="1" x14ac:dyDescent="0.25">
      <c r="A881" s="248"/>
      <c r="B881" s="251"/>
      <c r="C881" s="284"/>
      <c r="D881" s="254"/>
      <c r="E881" s="222">
        <v>2020</v>
      </c>
      <c r="F881" s="142">
        <f t="shared" ref="F881:F886" si="153">I881+H881</f>
        <v>557.9</v>
      </c>
      <c r="G881" s="140"/>
      <c r="H881" s="156">
        <v>552.29999999999995</v>
      </c>
      <c r="I881" s="156">
        <v>5.6</v>
      </c>
      <c r="J881" s="16"/>
      <c r="K881" s="290"/>
      <c r="L881" s="99"/>
      <c r="N881" s="99"/>
      <c r="P881" s="99"/>
      <c r="Q881" s="99"/>
      <c r="S881" s="99"/>
    </row>
    <row r="882" spans="1:35" ht="15" customHeight="1" x14ac:dyDescent="0.25">
      <c r="A882" s="248"/>
      <c r="B882" s="251"/>
      <c r="C882" s="284"/>
      <c r="D882" s="254"/>
      <c r="E882" s="222">
        <v>2021</v>
      </c>
      <c r="F882" s="142">
        <f t="shared" si="153"/>
        <v>581.9</v>
      </c>
      <c r="G882" s="140"/>
      <c r="H882" s="156">
        <v>576.1</v>
      </c>
      <c r="I882" s="142">
        <v>5.8</v>
      </c>
      <c r="J882" s="16"/>
      <c r="K882" s="290"/>
      <c r="L882" s="106"/>
      <c r="N882" s="99"/>
      <c r="P882" s="99"/>
      <c r="Q882" s="99"/>
      <c r="S882" s="99"/>
    </row>
    <row r="883" spans="1:35" ht="15" customHeight="1" x14ac:dyDescent="0.25">
      <c r="A883" s="248"/>
      <c r="B883" s="251"/>
      <c r="C883" s="284"/>
      <c r="D883" s="254"/>
      <c r="E883" s="222">
        <v>2022</v>
      </c>
      <c r="F883" s="142">
        <f t="shared" si="153"/>
        <v>607</v>
      </c>
      <c r="G883" s="141"/>
      <c r="H883" s="142">
        <v>600.9</v>
      </c>
      <c r="I883" s="142">
        <v>6.1</v>
      </c>
      <c r="J883" s="16"/>
      <c r="K883" s="290"/>
      <c r="L883" s="99"/>
      <c r="N883" s="99"/>
      <c r="P883" s="99"/>
      <c r="Q883" s="99"/>
      <c r="S883" s="99"/>
    </row>
    <row r="884" spans="1:35" ht="14.25" customHeight="1" x14ac:dyDescent="0.25">
      <c r="A884" s="248"/>
      <c r="B884" s="251"/>
      <c r="C884" s="284"/>
      <c r="D884" s="254"/>
      <c r="E884" s="222">
        <v>2023</v>
      </c>
      <c r="F884" s="142">
        <f t="shared" si="153"/>
        <v>0</v>
      </c>
      <c r="G884" s="142"/>
      <c r="H884" s="142"/>
      <c r="I884" s="142"/>
      <c r="J884" s="16"/>
      <c r="K884" s="290"/>
      <c r="L884" s="99"/>
      <c r="N884" s="99"/>
      <c r="P884" s="99"/>
      <c r="Q884" s="99"/>
      <c r="S884" s="99"/>
    </row>
    <row r="885" spans="1:35" ht="15.75" customHeight="1" x14ac:dyDescent="0.25">
      <c r="A885" s="248"/>
      <c r="B885" s="251"/>
      <c r="C885" s="284"/>
      <c r="D885" s="254"/>
      <c r="E885" s="222">
        <v>2024</v>
      </c>
      <c r="F885" s="142">
        <f t="shared" si="153"/>
        <v>0</v>
      </c>
      <c r="G885" s="140"/>
      <c r="H885" s="140"/>
      <c r="I885" s="156"/>
      <c r="J885" s="16"/>
      <c r="K885" s="290"/>
      <c r="L885" s="99"/>
      <c r="N885" s="99"/>
      <c r="P885" s="99"/>
      <c r="Q885" s="99"/>
      <c r="S885" s="99"/>
    </row>
    <row r="886" spans="1:35" ht="15" customHeight="1" x14ac:dyDescent="0.25">
      <c r="A886" s="248"/>
      <c r="B886" s="251"/>
      <c r="C886" s="284"/>
      <c r="D886" s="254"/>
      <c r="E886" s="222">
        <v>2025</v>
      </c>
      <c r="F886" s="142">
        <f t="shared" si="153"/>
        <v>0</v>
      </c>
      <c r="G886" s="140"/>
      <c r="H886" s="140"/>
      <c r="I886" s="156"/>
      <c r="J886" s="16"/>
      <c r="K886" s="290"/>
      <c r="L886" s="99"/>
      <c r="N886" s="99"/>
      <c r="P886" s="99"/>
      <c r="Q886" s="99"/>
      <c r="S886" s="99"/>
    </row>
    <row r="887" spans="1:35" ht="18" customHeight="1" thickBot="1" x14ac:dyDescent="0.25">
      <c r="A887" s="248"/>
      <c r="B887" s="251"/>
      <c r="C887" s="284"/>
      <c r="D887" s="254"/>
      <c r="E887" s="528" t="s">
        <v>18</v>
      </c>
      <c r="F887" s="530">
        <f>SUM(F880:F886)</f>
        <v>2019.9</v>
      </c>
      <c r="G887" s="532"/>
      <c r="H887" s="542">
        <f>SUM(H880:H886)</f>
        <v>1999.6</v>
      </c>
      <c r="I887" s="530">
        <f>SUM(I880:I886)</f>
        <v>20.299999999999997</v>
      </c>
      <c r="J887" s="532"/>
      <c r="K887" s="290"/>
      <c r="L887" s="99"/>
      <c r="N887" s="99"/>
      <c r="P887" s="99"/>
      <c r="Q887" s="99"/>
      <c r="S887" s="99"/>
    </row>
    <row r="888" spans="1:35" ht="6.75" hidden="1" customHeight="1" thickBot="1" x14ac:dyDescent="0.25">
      <c r="A888" s="248"/>
      <c r="B888" s="251"/>
      <c r="C888" s="284"/>
      <c r="D888" s="254"/>
      <c r="E888" s="529"/>
      <c r="F888" s="531"/>
      <c r="G888" s="533"/>
      <c r="H888" s="543"/>
      <c r="I888" s="531"/>
      <c r="J888" s="533"/>
      <c r="K888" s="290"/>
      <c r="L888" s="99"/>
      <c r="N888" s="99"/>
      <c r="P888" s="99"/>
      <c r="Q888" s="99"/>
      <c r="S888" s="99"/>
    </row>
    <row r="889" spans="1:35" ht="13.5" hidden="1" customHeight="1" thickBot="1" x14ac:dyDescent="0.25">
      <c r="A889" s="248"/>
      <c r="B889" s="252"/>
      <c r="C889" s="285"/>
      <c r="D889" s="254"/>
      <c r="E889" s="529"/>
      <c r="F889" s="531"/>
      <c r="G889" s="533"/>
      <c r="H889" s="543"/>
      <c r="I889" s="531"/>
      <c r="J889" s="533"/>
      <c r="K889" s="290"/>
      <c r="L889" s="99"/>
      <c r="N889" s="99"/>
      <c r="P889" s="99"/>
      <c r="Q889" s="99"/>
      <c r="S889" s="99"/>
    </row>
    <row r="890" spans="1:35" ht="26.25" thickBot="1" x14ac:dyDescent="0.25">
      <c r="A890" s="481" t="s">
        <v>430</v>
      </c>
      <c r="B890" s="482"/>
      <c r="C890" s="482"/>
      <c r="D890" s="483"/>
      <c r="E890" s="193" t="s">
        <v>403</v>
      </c>
      <c r="F890" s="194">
        <f>F887</f>
        <v>2019.9</v>
      </c>
      <c r="G890" s="194"/>
      <c r="H890" s="194">
        <f>H887</f>
        <v>1999.6</v>
      </c>
      <c r="I890" s="194">
        <f>I887</f>
        <v>20.299999999999997</v>
      </c>
      <c r="J890" s="94"/>
      <c r="K890" s="175"/>
      <c r="L890" s="126"/>
      <c r="M890" s="127"/>
      <c r="N890" s="99"/>
      <c r="P890" s="99"/>
      <c r="Q890" s="99"/>
      <c r="S890" s="99"/>
    </row>
    <row r="891" spans="1:35" ht="47.25" customHeight="1" x14ac:dyDescent="0.25">
      <c r="A891" s="227" t="s">
        <v>202</v>
      </c>
      <c r="B891" s="228"/>
      <c r="C891" s="228"/>
      <c r="D891" s="233"/>
      <c r="E891" s="195" t="s">
        <v>403</v>
      </c>
      <c r="F891" s="189" t="s">
        <v>18</v>
      </c>
      <c r="G891" s="190" t="s">
        <v>10</v>
      </c>
      <c r="H891" s="191" t="s">
        <v>11</v>
      </c>
      <c r="I891" s="191" t="s">
        <v>12</v>
      </c>
      <c r="J891" s="191" t="s">
        <v>13</v>
      </c>
      <c r="K891" s="192"/>
      <c r="M891" s="117"/>
      <c r="N891" s="107"/>
      <c r="O891" s="117"/>
    </row>
    <row r="892" spans="1:35" ht="16.5" thickBot="1" x14ac:dyDescent="0.3">
      <c r="A892" s="230"/>
      <c r="B892" s="231"/>
      <c r="C892" s="231"/>
      <c r="D892" s="234"/>
      <c r="E892" s="196"/>
      <c r="F892" s="140">
        <f>SUM(G892:J892)</f>
        <v>112865.60000000001</v>
      </c>
      <c r="G892" s="140"/>
      <c r="H892" s="141">
        <f>H864+H800+H773+H751+H710+H878+H890</f>
        <v>102955.5</v>
      </c>
      <c r="I892" s="141">
        <f>I864+I800+I773+I751+I710+I878+I890</f>
        <v>9910.0999999999985</v>
      </c>
      <c r="J892" s="142"/>
      <c r="K892" s="51"/>
      <c r="L892" s="133"/>
      <c r="M892" s="134"/>
      <c r="N892" s="28"/>
      <c r="O892" s="28"/>
      <c r="P892" s="28"/>
      <c r="Q892" s="28"/>
      <c r="R892" s="28"/>
      <c r="S892" s="28"/>
      <c r="T892" s="28"/>
      <c r="U892" s="28"/>
      <c r="V892" s="28"/>
    </row>
    <row r="893" spans="1:35" ht="18" x14ac:dyDescent="0.2">
      <c r="A893" s="479" t="s">
        <v>216</v>
      </c>
      <c r="B893" s="480"/>
      <c r="C893" s="480"/>
      <c r="D893" s="480"/>
      <c r="E893" s="478"/>
      <c r="F893" s="478"/>
      <c r="G893" s="478"/>
      <c r="H893" s="478"/>
      <c r="I893" s="478"/>
      <c r="J893" s="478"/>
      <c r="K893" s="478"/>
      <c r="L893" s="40"/>
      <c r="M893" s="40"/>
      <c r="N893" s="40"/>
      <c r="O893" s="40"/>
      <c r="P893" s="40"/>
      <c r="Q893" s="40"/>
      <c r="R893" s="40"/>
      <c r="S893" s="40"/>
      <c r="T893" s="40"/>
      <c r="U893" s="40"/>
      <c r="V893" s="40"/>
      <c r="W893" s="38"/>
      <c r="X893" s="38"/>
      <c r="Y893" s="38"/>
      <c r="Z893" s="38"/>
      <c r="AA893" s="38"/>
      <c r="AB893" s="38"/>
      <c r="AC893" s="38"/>
      <c r="AD893" s="38"/>
      <c r="AE893" s="38"/>
      <c r="AF893" s="38"/>
      <c r="AG893" s="38"/>
      <c r="AH893" s="38"/>
      <c r="AI893" s="39"/>
    </row>
    <row r="894" spans="1:35" ht="16.5" thickBot="1" x14ac:dyDescent="0.25">
      <c r="A894" s="264" t="s">
        <v>203</v>
      </c>
      <c r="B894" s="265"/>
      <c r="C894" s="265"/>
      <c r="D894" s="265"/>
      <c r="E894" s="260"/>
      <c r="F894" s="260"/>
      <c r="G894" s="260"/>
      <c r="H894" s="260"/>
      <c r="I894" s="260"/>
      <c r="J894" s="260"/>
      <c r="K894" s="260"/>
      <c r="L894" s="57"/>
      <c r="M894" s="57"/>
      <c r="N894" s="57"/>
      <c r="O894" s="57"/>
      <c r="P894" s="57"/>
      <c r="Q894" s="57"/>
      <c r="R894" s="57"/>
      <c r="S894" s="57"/>
      <c r="T894" s="57"/>
      <c r="U894" s="57"/>
      <c r="V894" s="57"/>
      <c r="W894" s="83"/>
      <c r="X894" s="83"/>
      <c r="Y894" s="83"/>
      <c r="Z894" s="83"/>
      <c r="AA894" s="83"/>
      <c r="AB894" s="83"/>
      <c r="AC894" s="83"/>
      <c r="AD894" s="83"/>
      <c r="AE894" s="83"/>
      <c r="AF894" s="83"/>
      <c r="AG894" s="83"/>
      <c r="AH894" s="83"/>
      <c r="AI894" s="84"/>
    </row>
    <row r="895" spans="1:35" ht="15" x14ac:dyDescent="0.25">
      <c r="A895" s="266" t="s">
        <v>101</v>
      </c>
      <c r="B895" s="269" t="s">
        <v>102</v>
      </c>
      <c r="C895" s="237" t="s">
        <v>403</v>
      </c>
      <c r="D895" s="239" t="s">
        <v>207</v>
      </c>
      <c r="E895" s="222">
        <v>2015</v>
      </c>
      <c r="F895" s="156">
        <f t="shared" ref="F895:F900" si="154">SUM(G895:J895)</f>
        <v>4484.7</v>
      </c>
      <c r="G895" s="7"/>
      <c r="H895" s="7"/>
      <c r="I895" s="7">
        <v>4092.2</v>
      </c>
      <c r="J895" s="7">
        <v>392.5</v>
      </c>
      <c r="K895" s="239" t="s">
        <v>170</v>
      </c>
      <c r="L895" s="28"/>
      <c r="M895" s="28"/>
      <c r="N895" s="28"/>
      <c r="O895" s="28"/>
      <c r="P895" s="28"/>
      <c r="Q895" s="28"/>
      <c r="R895" s="28"/>
      <c r="S895" s="28"/>
      <c r="T895" s="28"/>
      <c r="U895" s="28"/>
      <c r="V895" s="28"/>
    </row>
    <row r="896" spans="1:35" ht="15" x14ac:dyDescent="0.25">
      <c r="A896" s="267"/>
      <c r="B896" s="270"/>
      <c r="C896" s="238"/>
      <c r="D896" s="254"/>
      <c r="E896" s="222">
        <v>2016</v>
      </c>
      <c r="F896" s="156">
        <f t="shared" si="154"/>
        <v>4690</v>
      </c>
      <c r="G896" s="7"/>
      <c r="H896" s="7"/>
      <c r="I896" s="7">
        <f>3801.5+222.3-0.4</f>
        <v>4023.4</v>
      </c>
      <c r="J896" s="7">
        <f>58.3+608.3</f>
        <v>666.59999999999991</v>
      </c>
      <c r="K896" s="240"/>
      <c r="L896" s="28"/>
      <c r="M896" s="28"/>
      <c r="N896" s="28"/>
      <c r="O896" s="28"/>
      <c r="P896" s="28"/>
      <c r="Q896" s="28"/>
      <c r="R896" s="28"/>
      <c r="S896" s="28"/>
      <c r="T896" s="28"/>
      <c r="U896" s="28"/>
      <c r="V896" s="28"/>
    </row>
    <row r="897" spans="1:22" ht="15" x14ac:dyDescent="0.25">
      <c r="A897" s="267"/>
      <c r="B897" s="270"/>
      <c r="C897" s="238"/>
      <c r="D897" s="254"/>
      <c r="E897" s="222">
        <v>2017</v>
      </c>
      <c r="F897" s="156">
        <f t="shared" si="154"/>
        <v>5150.5</v>
      </c>
      <c r="G897" s="7"/>
      <c r="H897" s="7"/>
      <c r="I897" s="7">
        <v>4386.7</v>
      </c>
      <c r="J897" s="7">
        <f>692.8+71</f>
        <v>763.8</v>
      </c>
      <c r="K897" s="240"/>
      <c r="L897" s="99" t="s">
        <v>365</v>
      </c>
      <c r="M897" s="125" t="s">
        <v>363</v>
      </c>
      <c r="N897" s="138" t="s">
        <v>364</v>
      </c>
      <c r="O897" s="137" t="s">
        <v>366</v>
      </c>
    </row>
    <row r="898" spans="1:22" ht="15" x14ac:dyDescent="0.25">
      <c r="A898" s="267"/>
      <c r="B898" s="270"/>
      <c r="C898" s="238"/>
      <c r="D898" s="254"/>
      <c r="E898" s="222">
        <v>2018</v>
      </c>
      <c r="F898" s="156">
        <f t="shared" si="154"/>
        <v>9280.6</v>
      </c>
      <c r="G898" s="7"/>
      <c r="H898" s="7"/>
      <c r="I898" s="7">
        <f>10993.2-3029.3</f>
        <v>7963.9000000000005</v>
      </c>
      <c r="J898" s="7">
        <v>1316.7</v>
      </c>
      <c r="K898" s="240"/>
      <c r="L898" s="99"/>
    </row>
    <row r="899" spans="1:22" ht="15" x14ac:dyDescent="0.25">
      <c r="A899" s="267"/>
      <c r="B899" s="270"/>
      <c r="C899" s="238"/>
      <c r="D899" s="254"/>
      <c r="E899" s="222">
        <v>2019</v>
      </c>
      <c r="F899" s="156">
        <f t="shared" si="154"/>
        <v>10066.299999999999</v>
      </c>
      <c r="G899" s="7"/>
      <c r="H899" s="7"/>
      <c r="I899" s="7">
        <f>9830.8+91.1-1258.2</f>
        <v>8663.6999999999989</v>
      </c>
      <c r="J899" s="7">
        <f>67.5+1335.1</f>
        <v>1402.6</v>
      </c>
      <c r="K899" s="240"/>
      <c r="L899" s="99"/>
    </row>
    <row r="900" spans="1:22" ht="15" x14ac:dyDescent="0.25">
      <c r="A900" s="267"/>
      <c r="B900" s="270"/>
      <c r="C900" s="238"/>
      <c r="D900" s="254"/>
      <c r="E900" s="222">
        <v>2020</v>
      </c>
      <c r="F900" s="156">
        <f t="shared" si="154"/>
        <v>9100.9</v>
      </c>
      <c r="G900" s="7"/>
      <c r="H900" s="7"/>
      <c r="I900" s="7">
        <f>5878-1370.2+4522.2</f>
        <v>9030</v>
      </c>
      <c r="J900" s="7">
        <v>70.900000000000006</v>
      </c>
      <c r="K900" s="240"/>
    </row>
    <row r="901" spans="1:22" ht="15" x14ac:dyDescent="0.25">
      <c r="A901" s="268"/>
      <c r="B901" s="271"/>
      <c r="C901" s="272"/>
      <c r="D901" s="254"/>
      <c r="E901" s="222">
        <v>2021</v>
      </c>
      <c r="F901" s="156">
        <f t="shared" ref="F901:F905" si="155">SUM(G901:J901)</f>
        <v>4760.8999999999996</v>
      </c>
      <c r="G901" s="7"/>
      <c r="H901" s="7"/>
      <c r="I901" s="7">
        <f>2995+1695</f>
        <v>4690</v>
      </c>
      <c r="J901" s="7">
        <v>70.900000000000006</v>
      </c>
      <c r="K901" s="240"/>
      <c r="L901" s="28"/>
      <c r="M901" s="28"/>
      <c r="N901" s="28"/>
      <c r="O901" s="28"/>
      <c r="P901" s="28"/>
      <c r="Q901" s="28"/>
      <c r="R901" s="28"/>
      <c r="S901" s="28"/>
      <c r="T901" s="28"/>
      <c r="U901" s="28"/>
      <c r="V901" s="28"/>
    </row>
    <row r="902" spans="1:22" ht="15" x14ac:dyDescent="0.25">
      <c r="A902" s="268"/>
      <c r="B902" s="271"/>
      <c r="C902" s="272"/>
      <c r="D902" s="254"/>
      <c r="E902" s="222">
        <v>2022</v>
      </c>
      <c r="F902" s="156">
        <f t="shared" si="155"/>
        <v>1477.9</v>
      </c>
      <c r="G902" s="7"/>
      <c r="H902" s="7"/>
      <c r="I902" s="7">
        <f>3200-1793</f>
        <v>1407</v>
      </c>
      <c r="J902" s="7">
        <v>70.900000000000006</v>
      </c>
      <c r="K902" s="240"/>
      <c r="L902" s="99" t="s">
        <v>365</v>
      </c>
      <c r="M902" s="125" t="s">
        <v>363</v>
      </c>
      <c r="N902" s="138" t="s">
        <v>364</v>
      </c>
      <c r="O902" s="137" t="s">
        <v>366</v>
      </c>
    </row>
    <row r="903" spans="1:22" ht="15" x14ac:dyDescent="0.25">
      <c r="A903" s="268"/>
      <c r="B903" s="271"/>
      <c r="C903" s="272"/>
      <c r="D903" s="254"/>
      <c r="E903" s="222">
        <v>2023</v>
      </c>
      <c r="F903" s="156">
        <f t="shared" si="155"/>
        <v>3398.9</v>
      </c>
      <c r="G903" s="7"/>
      <c r="H903" s="7"/>
      <c r="I903" s="7">
        <v>3328</v>
      </c>
      <c r="J903" s="7">
        <v>70.900000000000006</v>
      </c>
      <c r="K903" s="240"/>
      <c r="L903" s="99"/>
    </row>
    <row r="904" spans="1:22" ht="15" x14ac:dyDescent="0.25">
      <c r="A904" s="268"/>
      <c r="B904" s="271"/>
      <c r="C904" s="272"/>
      <c r="D904" s="254"/>
      <c r="E904" s="222">
        <v>2024</v>
      </c>
      <c r="F904" s="156">
        <f t="shared" si="155"/>
        <v>3531.9</v>
      </c>
      <c r="G904" s="7"/>
      <c r="H904" s="7"/>
      <c r="I904" s="7">
        <v>3461</v>
      </c>
      <c r="J904" s="7">
        <v>70.900000000000006</v>
      </c>
      <c r="K904" s="240"/>
      <c r="L904" s="99"/>
    </row>
    <row r="905" spans="1:22" ht="15" x14ac:dyDescent="0.25">
      <c r="A905" s="268"/>
      <c r="B905" s="271"/>
      <c r="C905" s="272"/>
      <c r="D905" s="254"/>
      <c r="E905" s="222">
        <v>2025</v>
      </c>
      <c r="F905" s="156">
        <f t="shared" si="155"/>
        <v>3670.9</v>
      </c>
      <c r="G905" s="7"/>
      <c r="H905" s="7"/>
      <c r="I905" s="7">
        <v>3600</v>
      </c>
      <c r="J905" s="7">
        <v>70.900000000000006</v>
      </c>
      <c r="K905" s="240"/>
    </row>
    <row r="906" spans="1:22" ht="14.25" x14ac:dyDescent="0.2">
      <c r="A906" s="268"/>
      <c r="B906" s="271"/>
      <c r="C906" s="272"/>
      <c r="D906" s="254"/>
      <c r="E906" s="18" t="s">
        <v>18</v>
      </c>
      <c r="F906" s="140">
        <f>SUM(F895:F905)</f>
        <v>59613.500000000015</v>
      </c>
      <c r="G906" s="140"/>
      <c r="H906" s="140">
        <f>SUM(H895:H900)</f>
        <v>0</v>
      </c>
      <c r="I906" s="140">
        <f>SUM(I895:I905)</f>
        <v>54645.9</v>
      </c>
      <c r="J906" s="140">
        <f>SUM(J895:J905)</f>
        <v>4967.5999999999976</v>
      </c>
      <c r="K906" s="240"/>
    </row>
    <row r="907" spans="1:22" ht="15" x14ac:dyDescent="0.25">
      <c r="A907" s="302" t="s">
        <v>103</v>
      </c>
      <c r="B907" s="288" t="s">
        <v>104</v>
      </c>
      <c r="C907" s="237" t="s">
        <v>403</v>
      </c>
      <c r="D907" s="283" t="s">
        <v>207</v>
      </c>
      <c r="E907" s="222">
        <v>2015</v>
      </c>
      <c r="F907" s="156">
        <f t="shared" ref="F907:F912" si="156">SUM(G907:J907)</f>
        <v>448.20000000000005</v>
      </c>
      <c r="G907" s="7"/>
      <c r="H907" s="7"/>
      <c r="I907" s="7">
        <v>251.4</v>
      </c>
      <c r="J907" s="7">
        <v>196.8</v>
      </c>
      <c r="K907" s="240"/>
    </row>
    <row r="908" spans="1:22" ht="15" x14ac:dyDescent="0.25">
      <c r="A908" s="468"/>
      <c r="B908" s="305"/>
      <c r="C908" s="238"/>
      <c r="D908" s="238"/>
      <c r="E908" s="222">
        <v>2016</v>
      </c>
      <c r="F908" s="156">
        <f t="shared" si="156"/>
        <v>478.19999999999993</v>
      </c>
      <c r="G908" s="7"/>
      <c r="H908" s="7"/>
      <c r="I908" s="7">
        <f>414.2-142.9</f>
        <v>271.29999999999995</v>
      </c>
      <c r="J908" s="7">
        <f>206.6+0.3</f>
        <v>206.9</v>
      </c>
      <c r="K908" s="240"/>
    </row>
    <row r="909" spans="1:22" ht="15" x14ac:dyDescent="0.25">
      <c r="A909" s="468"/>
      <c r="B909" s="305"/>
      <c r="C909" s="238"/>
      <c r="D909" s="238"/>
      <c r="E909" s="222">
        <v>2017</v>
      </c>
      <c r="F909" s="156">
        <f t="shared" si="156"/>
        <v>485</v>
      </c>
      <c r="G909" s="7"/>
      <c r="H909" s="7"/>
      <c r="I909" s="7">
        <v>355.7</v>
      </c>
      <c r="J909" s="7">
        <f>110.1+19.2</f>
        <v>129.29999999999998</v>
      </c>
      <c r="K909" s="240"/>
      <c r="L909" s="99" t="s">
        <v>370</v>
      </c>
      <c r="M909" s="125" t="s">
        <v>367</v>
      </c>
      <c r="N909" s="138" t="s">
        <v>368</v>
      </c>
      <c r="O909" s="137" t="s">
        <v>369</v>
      </c>
    </row>
    <row r="910" spans="1:22" ht="15" x14ac:dyDescent="0.25">
      <c r="A910" s="468"/>
      <c r="B910" s="305"/>
      <c r="C910" s="238"/>
      <c r="D910" s="238"/>
      <c r="E910" s="222">
        <v>2018</v>
      </c>
      <c r="F910" s="156">
        <f t="shared" si="156"/>
        <v>636.70000000000005</v>
      </c>
      <c r="G910" s="7"/>
      <c r="H910" s="7"/>
      <c r="I910" s="7">
        <f>337.1+35.1</f>
        <v>372.20000000000005</v>
      </c>
      <c r="J910" s="7">
        <f>284.8-20.3</f>
        <v>264.5</v>
      </c>
      <c r="K910" s="240"/>
      <c r="L910" s="99"/>
    </row>
    <row r="911" spans="1:22" ht="15" x14ac:dyDescent="0.25">
      <c r="A911" s="468"/>
      <c r="B911" s="305"/>
      <c r="C911" s="238"/>
      <c r="D911" s="238"/>
      <c r="E911" s="222">
        <v>2019</v>
      </c>
      <c r="F911" s="156">
        <f t="shared" si="156"/>
        <v>591.90000000000009</v>
      </c>
      <c r="G911" s="7"/>
      <c r="H911" s="7"/>
      <c r="I911" s="7">
        <f>374.6-49.4</f>
        <v>325.20000000000005</v>
      </c>
      <c r="J911" s="7">
        <f>239.1+27.6</f>
        <v>266.7</v>
      </c>
      <c r="K911" s="240"/>
      <c r="L911" s="99"/>
    </row>
    <row r="912" spans="1:22" ht="15" x14ac:dyDescent="0.25">
      <c r="A912" s="468"/>
      <c r="B912" s="305"/>
      <c r="C912" s="238"/>
      <c r="D912" s="238"/>
      <c r="E912" s="222">
        <v>2020</v>
      </c>
      <c r="F912" s="156">
        <f t="shared" si="156"/>
        <v>652.5</v>
      </c>
      <c r="G912" s="7"/>
      <c r="H912" s="7"/>
      <c r="I912" s="7">
        <f>306.6+94.9</f>
        <v>401.5</v>
      </c>
      <c r="J912" s="7">
        <f>251</f>
        <v>251</v>
      </c>
      <c r="K912" s="240"/>
    </row>
    <row r="913" spans="1:15" ht="15" x14ac:dyDescent="0.25">
      <c r="A913" s="468"/>
      <c r="B913" s="305"/>
      <c r="C913" s="238"/>
      <c r="D913" s="238"/>
      <c r="E913" s="222">
        <v>2021</v>
      </c>
      <c r="F913" s="156">
        <f t="shared" ref="F913:F917" si="157">SUM(G913:J913)</f>
        <v>451.7</v>
      </c>
      <c r="G913" s="7"/>
      <c r="H913" s="7"/>
      <c r="I913" s="7">
        <f>201.6-0.9</f>
        <v>200.7</v>
      </c>
      <c r="J913" s="7">
        <v>251</v>
      </c>
      <c r="K913" s="240"/>
    </row>
    <row r="914" spans="1:15" ht="15" x14ac:dyDescent="0.25">
      <c r="A914" s="468"/>
      <c r="B914" s="305"/>
      <c r="C914" s="238"/>
      <c r="D914" s="238"/>
      <c r="E914" s="222">
        <v>2022</v>
      </c>
      <c r="F914" s="156">
        <f t="shared" si="157"/>
        <v>312.5</v>
      </c>
      <c r="G914" s="7"/>
      <c r="H914" s="7"/>
      <c r="I914" s="7">
        <f>300.5-239</f>
        <v>61.5</v>
      </c>
      <c r="J914" s="7">
        <v>251</v>
      </c>
      <c r="K914" s="240"/>
    </row>
    <row r="915" spans="1:15" ht="15" x14ac:dyDescent="0.25">
      <c r="A915" s="468"/>
      <c r="B915" s="305"/>
      <c r="C915" s="238"/>
      <c r="D915" s="238"/>
      <c r="E915" s="222">
        <v>2023</v>
      </c>
      <c r="F915" s="156">
        <f t="shared" si="157"/>
        <v>563.5</v>
      </c>
      <c r="G915" s="7"/>
      <c r="H915" s="7"/>
      <c r="I915" s="7">
        <v>312.5</v>
      </c>
      <c r="J915" s="7">
        <v>251</v>
      </c>
      <c r="K915" s="240"/>
      <c r="L915" s="99" t="s">
        <v>370</v>
      </c>
      <c r="M915" s="125" t="s">
        <v>367</v>
      </c>
      <c r="N915" s="138" t="s">
        <v>368</v>
      </c>
      <c r="O915" s="137" t="s">
        <v>369</v>
      </c>
    </row>
    <row r="916" spans="1:15" ht="15" x14ac:dyDescent="0.25">
      <c r="A916" s="468"/>
      <c r="B916" s="305"/>
      <c r="C916" s="238"/>
      <c r="D916" s="238"/>
      <c r="E916" s="222">
        <v>2024</v>
      </c>
      <c r="F916" s="156">
        <f t="shared" si="157"/>
        <v>576</v>
      </c>
      <c r="G916" s="7"/>
      <c r="H916" s="7"/>
      <c r="I916" s="7">
        <v>325</v>
      </c>
      <c r="J916" s="7">
        <v>251</v>
      </c>
      <c r="K916" s="240"/>
      <c r="L916" s="99"/>
    </row>
    <row r="917" spans="1:15" ht="15" x14ac:dyDescent="0.25">
      <c r="A917" s="468"/>
      <c r="B917" s="305"/>
      <c r="C917" s="238"/>
      <c r="D917" s="238"/>
      <c r="E917" s="222">
        <v>2025</v>
      </c>
      <c r="F917" s="156">
        <f t="shared" si="157"/>
        <v>589</v>
      </c>
      <c r="G917" s="7"/>
      <c r="H917" s="7"/>
      <c r="I917" s="7">
        <v>338</v>
      </c>
      <c r="J917" s="7">
        <v>251</v>
      </c>
      <c r="K917" s="240"/>
      <c r="L917" s="99"/>
    </row>
    <row r="918" spans="1:15" ht="14.25" x14ac:dyDescent="0.2">
      <c r="A918" s="468"/>
      <c r="B918" s="305"/>
      <c r="C918" s="238"/>
      <c r="D918" s="238"/>
      <c r="E918" s="18" t="s">
        <v>18</v>
      </c>
      <c r="F918" s="140">
        <f>SUM(F907:F917)</f>
        <v>5785.2000000000007</v>
      </c>
      <c r="G918" s="140"/>
      <c r="H918" s="140">
        <f>SUM(H907:H912)</f>
        <v>0</v>
      </c>
      <c r="I918" s="140">
        <f>SUM(I907:I917)</f>
        <v>3215</v>
      </c>
      <c r="J918" s="140">
        <f>SUM(J907:J917)</f>
        <v>2570.1999999999998</v>
      </c>
      <c r="K918" s="240"/>
    </row>
    <row r="919" spans="1:15" ht="15" x14ac:dyDescent="0.25">
      <c r="A919" s="302" t="s">
        <v>105</v>
      </c>
      <c r="B919" s="288" t="s">
        <v>433</v>
      </c>
      <c r="C919" s="237" t="s">
        <v>403</v>
      </c>
      <c r="D919" s="283" t="s">
        <v>207</v>
      </c>
      <c r="E919" s="222">
        <v>2015</v>
      </c>
      <c r="F919" s="156">
        <f t="shared" ref="F919:F924" si="158">SUM(G919:J919)</f>
        <v>402.69999999999993</v>
      </c>
      <c r="G919" s="7"/>
      <c r="H919" s="7"/>
      <c r="I919" s="7">
        <f>344.4+6.9</f>
        <v>351.29999999999995</v>
      </c>
      <c r="J919" s="7">
        <v>51.4</v>
      </c>
      <c r="K919" s="240"/>
    </row>
    <row r="920" spans="1:15" ht="15" x14ac:dyDescent="0.25">
      <c r="A920" s="468"/>
      <c r="B920" s="288"/>
      <c r="C920" s="238"/>
      <c r="D920" s="238"/>
      <c r="E920" s="222">
        <v>2016</v>
      </c>
      <c r="F920" s="156">
        <f t="shared" si="158"/>
        <v>681.2</v>
      </c>
      <c r="G920" s="7"/>
      <c r="H920" s="7"/>
      <c r="I920" s="7">
        <f>363.3+262.6</f>
        <v>625.90000000000009</v>
      </c>
      <c r="J920" s="7">
        <f>54+1.3</f>
        <v>55.3</v>
      </c>
      <c r="K920" s="240"/>
    </row>
    <row r="921" spans="1:15" ht="15" x14ac:dyDescent="0.25">
      <c r="A921" s="468"/>
      <c r="B921" s="288"/>
      <c r="C921" s="238"/>
      <c r="D921" s="238"/>
      <c r="E921" s="222">
        <v>2017</v>
      </c>
      <c r="F921" s="156">
        <f t="shared" si="158"/>
        <v>877.6</v>
      </c>
      <c r="G921" s="7"/>
      <c r="H921" s="7"/>
      <c r="I921" s="7">
        <v>678.1</v>
      </c>
      <c r="J921" s="7">
        <f>169.8+29.7</f>
        <v>199.5</v>
      </c>
      <c r="K921" s="240"/>
      <c r="L921" s="99" t="s">
        <v>374</v>
      </c>
      <c r="M921" s="125" t="s">
        <v>371</v>
      </c>
      <c r="N921" s="138" t="s">
        <v>372</v>
      </c>
      <c r="O921" s="137" t="s">
        <v>373</v>
      </c>
    </row>
    <row r="922" spans="1:15" ht="15" x14ac:dyDescent="0.25">
      <c r="A922" s="468"/>
      <c r="B922" s="288"/>
      <c r="C922" s="238"/>
      <c r="D922" s="238"/>
      <c r="E922" s="222">
        <v>2018</v>
      </c>
      <c r="F922" s="156">
        <f t="shared" si="158"/>
        <v>1706.1</v>
      </c>
      <c r="G922" s="7"/>
      <c r="H922" s="7"/>
      <c r="I922" s="7">
        <f>1042.6+242.6</f>
        <v>1285.1999999999998</v>
      </c>
      <c r="J922" s="7">
        <f>416.7+4.2</f>
        <v>420.9</v>
      </c>
      <c r="K922" s="240"/>
      <c r="L922" s="99"/>
    </row>
    <row r="923" spans="1:15" ht="15" x14ac:dyDescent="0.25">
      <c r="A923" s="468"/>
      <c r="B923" s="288"/>
      <c r="C923" s="238"/>
      <c r="D923" s="238"/>
      <c r="E923" s="222">
        <v>2019</v>
      </c>
      <c r="F923" s="156">
        <f t="shared" si="158"/>
        <v>1114.8999999999999</v>
      </c>
      <c r="G923" s="7"/>
      <c r="H923" s="7"/>
      <c r="I923" s="7">
        <f>1254.6-527.6</f>
        <v>726.99999999999989</v>
      </c>
      <c r="J923" s="7">
        <f>62.5+325.4</f>
        <v>387.9</v>
      </c>
      <c r="K923" s="240"/>
      <c r="L923" s="99"/>
    </row>
    <row r="924" spans="1:15" ht="15" x14ac:dyDescent="0.25">
      <c r="A924" s="468"/>
      <c r="B924" s="288"/>
      <c r="C924" s="238"/>
      <c r="D924" s="238"/>
      <c r="E924" s="222">
        <v>2020</v>
      </c>
      <c r="F924" s="156">
        <f t="shared" si="158"/>
        <v>1236.7</v>
      </c>
      <c r="G924" s="7"/>
      <c r="H924" s="7"/>
      <c r="I924" s="7">
        <f>685+486</f>
        <v>1171</v>
      </c>
      <c r="J924" s="7">
        <v>65.7</v>
      </c>
      <c r="K924" s="240"/>
    </row>
    <row r="925" spans="1:15" ht="15" x14ac:dyDescent="0.25">
      <c r="A925" s="468"/>
      <c r="B925" s="288"/>
      <c r="C925" s="238"/>
      <c r="D925" s="238"/>
      <c r="E925" s="222">
        <v>2021</v>
      </c>
      <c r="F925" s="156">
        <f t="shared" ref="F925:F929" si="159">SUM(G925:J925)</f>
        <v>706.7</v>
      </c>
      <c r="G925" s="7"/>
      <c r="H925" s="7"/>
      <c r="I925" s="7">
        <f>348+293</f>
        <v>641</v>
      </c>
      <c r="J925" s="7">
        <v>65.7</v>
      </c>
      <c r="K925" s="240"/>
    </row>
    <row r="926" spans="1:15" ht="15" x14ac:dyDescent="0.25">
      <c r="A926" s="468"/>
      <c r="B926" s="288"/>
      <c r="C926" s="238"/>
      <c r="D926" s="238"/>
      <c r="E926" s="222">
        <v>2022</v>
      </c>
      <c r="F926" s="156">
        <f t="shared" si="159"/>
        <v>256.7</v>
      </c>
      <c r="G926" s="7"/>
      <c r="H926" s="7"/>
      <c r="I926" s="7">
        <f>400-209</f>
        <v>191</v>
      </c>
      <c r="J926" s="7">
        <v>65.7</v>
      </c>
      <c r="K926" s="240"/>
      <c r="L926" s="99" t="s">
        <v>374</v>
      </c>
      <c r="M926" s="125" t="s">
        <v>371</v>
      </c>
      <c r="N926" s="138" t="s">
        <v>372</v>
      </c>
      <c r="O926" s="137" t="s">
        <v>373</v>
      </c>
    </row>
    <row r="927" spans="1:15" ht="15" x14ac:dyDescent="0.25">
      <c r="A927" s="468"/>
      <c r="B927" s="288"/>
      <c r="C927" s="238"/>
      <c r="D927" s="238"/>
      <c r="E927" s="222">
        <v>2023</v>
      </c>
      <c r="F927" s="156">
        <f t="shared" si="159"/>
        <v>481.7</v>
      </c>
      <c r="G927" s="7"/>
      <c r="H927" s="7"/>
      <c r="I927" s="7">
        <v>416</v>
      </c>
      <c r="J927" s="7">
        <v>65.7</v>
      </c>
      <c r="K927" s="240"/>
      <c r="L927" s="99"/>
    </row>
    <row r="928" spans="1:15" ht="15" x14ac:dyDescent="0.25">
      <c r="A928" s="468"/>
      <c r="B928" s="288"/>
      <c r="C928" s="238"/>
      <c r="D928" s="238"/>
      <c r="E928" s="222">
        <v>2024</v>
      </c>
      <c r="F928" s="156">
        <f t="shared" si="159"/>
        <v>498.7</v>
      </c>
      <c r="G928" s="7"/>
      <c r="H928" s="7"/>
      <c r="I928" s="7">
        <v>433</v>
      </c>
      <c r="J928" s="7">
        <v>65.7</v>
      </c>
      <c r="K928" s="240"/>
      <c r="L928" s="99"/>
    </row>
    <row r="929" spans="1:14" ht="15" x14ac:dyDescent="0.25">
      <c r="A929" s="468"/>
      <c r="B929" s="288"/>
      <c r="C929" s="238"/>
      <c r="D929" s="238"/>
      <c r="E929" s="222">
        <v>2025</v>
      </c>
      <c r="F929" s="156">
        <f t="shared" si="159"/>
        <v>515.70000000000005</v>
      </c>
      <c r="G929" s="7"/>
      <c r="H929" s="7"/>
      <c r="I929" s="7">
        <v>450</v>
      </c>
      <c r="J929" s="7">
        <v>65.7</v>
      </c>
      <c r="K929" s="240"/>
    </row>
    <row r="930" spans="1:14" ht="14.25" x14ac:dyDescent="0.2">
      <c r="A930" s="468"/>
      <c r="B930" s="288"/>
      <c r="C930" s="238"/>
      <c r="D930" s="238"/>
      <c r="E930" s="18" t="s">
        <v>18</v>
      </c>
      <c r="F930" s="140">
        <f>SUM(F919:F929)</f>
        <v>8478.6999999999989</v>
      </c>
      <c r="G930" s="140"/>
      <c r="H930" s="140">
        <f>SUM(H919:H924)</f>
        <v>0</v>
      </c>
      <c r="I930" s="140">
        <f>SUM(I919:I929)</f>
        <v>6969.5</v>
      </c>
      <c r="J930" s="140">
        <f>SUM(J919:J929)</f>
        <v>1509.2000000000003</v>
      </c>
      <c r="K930" s="240"/>
    </row>
    <row r="931" spans="1:14" ht="15" x14ac:dyDescent="0.25">
      <c r="A931" s="302" t="s">
        <v>106</v>
      </c>
      <c r="B931" s="251" t="s">
        <v>107</v>
      </c>
      <c r="C931" s="237" t="s">
        <v>403</v>
      </c>
      <c r="D931" s="283" t="s">
        <v>207</v>
      </c>
      <c r="E931" s="222">
        <v>2015</v>
      </c>
      <c r="F931" s="156">
        <f t="shared" ref="F931:F936" si="160">SUM(G931:J931)</f>
        <v>2265.3000000000002</v>
      </c>
      <c r="G931" s="7"/>
      <c r="H931" s="7"/>
      <c r="I931" s="7">
        <v>2265.3000000000002</v>
      </c>
      <c r="J931" s="7"/>
      <c r="K931" s="240"/>
    </row>
    <row r="932" spans="1:14" ht="15" x14ac:dyDescent="0.25">
      <c r="A932" s="468"/>
      <c r="B932" s="294"/>
      <c r="C932" s="238"/>
      <c r="D932" s="238"/>
      <c r="E932" s="222">
        <v>2016</v>
      </c>
      <c r="F932" s="156">
        <f t="shared" si="160"/>
        <v>2244.6999999999998</v>
      </c>
      <c r="G932" s="7"/>
      <c r="H932" s="7"/>
      <c r="I932" s="7">
        <f>2295.7-51</f>
        <v>2244.6999999999998</v>
      </c>
      <c r="J932" s="7"/>
      <c r="K932" s="240"/>
    </row>
    <row r="933" spans="1:14" ht="15" x14ac:dyDescent="0.25">
      <c r="A933" s="468"/>
      <c r="B933" s="294"/>
      <c r="C933" s="238"/>
      <c r="D933" s="238"/>
      <c r="E933" s="222">
        <v>2017</v>
      </c>
      <c r="F933" s="156">
        <f t="shared" si="160"/>
        <v>2244.8000000000002</v>
      </c>
      <c r="G933" s="7"/>
      <c r="H933" s="7"/>
      <c r="I933" s="7">
        <v>2244.8000000000002</v>
      </c>
      <c r="J933" s="7"/>
      <c r="K933" s="240"/>
      <c r="L933" s="99"/>
      <c r="N933" s="106"/>
    </row>
    <row r="934" spans="1:14" ht="15" x14ac:dyDescent="0.25">
      <c r="A934" s="468"/>
      <c r="B934" s="294"/>
      <c r="C934" s="238"/>
      <c r="D934" s="238"/>
      <c r="E934" s="222">
        <v>2018</v>
      </c>
      <c r="F934" s="156">
        <f t="shared" si="160"/>
        <v>3991.5</v>
      </c>
      <c r="G934" s="7"/>
      <c r="H934" s="7"/>
      <c r="I934" s="7">
        <f>3340.4+651.1</f>
        <v>3991.5</v>
      </c>
      <c r="J934" s="7"/>
      <c r="K934" s="240"/>
      <c r="L934" s="99"/>
    </row>
    <row r="935" spans="1:14" ht="15" x14ac:dyDescent="0.25">
      <c r="A935" s="468"/>
      <c r="B935" s="294"/>
      <c r="C935" s="238"/>
      <c r="D935" s="238"/>
      <c r="E935" s="222">
        <v>2019</v>
      </c>
      <c r="F935" s="156">
        <f t="shared" si="160"/>
        <v>4409.5999999999995</v>
      </c>
      <c r="G935" s="7"/>
      <c r="H935" s="7"/>
      <c r="I935" s="7">
        <f>3954.2+455.4</f>
        <v>4409.5999999999995</v>
      </c>
      <c r="J935" s="7"/>
      <c r="K935" s="240"/>
      <c r="L935" s="99"/>
    </row>
    <row r="936" spans="1:14" ht="15" x14ac:dyDescent="0.25">
      <c r="A936" s="468"/>
      <c r="B936" s="294"/>
      <c r="C936" s="238"/>
      <c r="D936" s="238"/>
      <c r="E936" s="222">
        <v>2020</v>
      </c>
      <c r="F936" s="156">
        <f t="shared" si="160"/>
        <v>4862.8999999999996</v>
      </c>
      <c r="G936" s="7"/>
      <c r="H936" s="7"/>
      <c r="I936" s="7">
        <f>2170.4+2692.5</f>
        <v>4862.8999999999996</v>
      </c>
      <c r="J936" s="7"/>
      <c r="K936" s="240"/>
    </row>
    <row r="937" spans="1:14" ht="15" x14ac:dyDescent="0.25">
      <c r="A937" s="468"/>
      <c r="B937" s="294"/>
      <c r="C937" s="238"/>
      <c r="D937" s="238"/>
      <c r="E937" s="222">
        <v>2021</v>
      </c>
      <c r="F937" s="156">
        <f t="shared" ref="F937:F941" si="161">SUM(G937:J937)</f>
        <v>2611.4</v>
      </c>
      <c r="G937" s="7"/>
      <c r="H937" s="7"/>
      <c r="I937" s="7">
        <f>1215.4+1396</f>
        <v>2611.4</v>
      </c>
      <c r="J937" s="7"/>
      <c r="K937" s="240"/>
    </row>
    <row r="938" spans="1:14" ht="15" x14ac:dyDescent="0.25">
      <c r="A938" s="468"/>
      <c r="B938" s="294"/>
      <c r="C938" s="238"/>
      <c r="D938" s="238"/>
      <c r="E938" s="222">
        <v>2022</v>
      </c>
      <c r="F938" s="156">
        <f t="shared" si="161"/>
        <v>2611.5</v>
      </c>
      <c r="G938" s="7"/>
      <c r="H938" s="7"/>
      <c r="I938" s="7">
        <f>1370+1241.5</f>
        <v>2611.5</v>
      </c>
      <c r="J938" s="7"/>
      <c r="K938" s="240"/>
      <c r="L938" s="99"/>
      <c r="N938" s="106"/>
    </row>
    <row r="939" spans="1:14" ht="15" x14ac:dyDescent="0.25">
      <c r="A939" s="468"/>
      <c r="B939" s="294"/>
      <c r="C939" s="238"/>
      <c r="D939" s="238"/>
      <c r="E939" s="222">
        <v>2023</v>
      </c>
      <c r="F939" s="156">
        <f t="shared" si="161"/>
        <v>1424.8</v>
      </c>
      <c r="G939" s="7"/>
      <c r="H939" s="7"/>
      <c r="I939" s="7">
        <v>1424.8</v>
      </c>
      <c r="J939" s="7"/>
      <c r="K939" s="240"/>
      <c r="L939" s="99"/>
    </row>
    <row r="940" spans="1:14" ht="15" x14ac:dyDescent="0.25">
      <c r="A940" s="468"/>
      <c r="B940" s="294"/>
      <c r="C940" s="238"/>
      <c r="D940" s="238"/>
      <c r="E940" s="222">
        <v>2024</v>
      </c>
      <c r="F940" s="156">
        <f t="shared" si="161"/>
        <v>1481.8</v>
      </c>
      <c r="G940" s="7"/>
      <c r="H940" s="7"/>
      <c r="I940" s="7">
        <v>1481.8</v>
      </c>
      <c r="J940" s="7"/>
      <c r="K940" s="240"/>
      <c r="L940" s="99"/>
    </row>
    <row r="941" spans="1:14" ht="15" x14ac:dyDescent="0.25">
      <c r="A941" s="468"/>
      <c r="B941" s="294"/>
      <c r="C941" s="238"/>
      <c r="D941" s="238"/>
      <c r="E941" s="222">
        <v>2025</v>
      </c>
      <c r="F941" s="156">
        <f t="shared" si="161"/>
        <v>1541</v>
      </c>
      <c r="G941" s="7"/>
      <c r="H941" s="7"/>
      <c r="I941" s="7">
        <v>1541</v>
      </c>
      <c r="J941" s="7"/>
      <c r="K941" s="240"/>
    </row>
    <row r="942" spans="1:14" ht="15" x14ac:dyDescent="0.2">
      <c r="A942" s="468"/>
      <c r="B942" s="294"/>
      <c r="C942" s="238"/>
      <c r="D942" s="238"/>
      <c r="E942" s="18" t="s">
        <v>18</v>
      </c>
      <c r="F942" s="140">
        <f>SUM(F931:F941)</f>
        <v>29689.299999999996</v>
      </c>
      <c r="G942" s="140"/>
      <c r="H942" s="140">
        <f>SUM(H931:H936)</f>
        <v>0</v>
      </c>
      <c r="I942" s="140">
        <f>SUM(I931:I941)</f>
        <v>29689.299999999996</v>
      </c>
      <c r="J942" s="156">
        <f>SUM(J931:J936)</f>
        <v>0</v>
      </c>
      <c r="K942" s="241"/>
    </row>
    <row r="943" spans="1:14" ht="25.5" x14ac:dyDescent="0.2">
      <c r="A943" s="466" t="s">
        <v>194</v>
      </c>
      <c r="B943" s="467"/>
      <c r="C943" s="467"/>
      <c r="D943" s="467"/>
      <c r="E943" s="54" t="s">
        <v>403</v>
      </c>
      <c r="F943" s="140">
        <f>F942+F930+F918+F906</f>
        <v>103566.70000000001</v>
      </c>
      <c r="G943" s="140"/>
      <c r="H943" s="140">
        <f>H942+H930+H918+H906</f>
        <v>0</v>
      </c>
      <c r="I943" s="140">
        <f>I942+I930+I918+I906</f>
        <v>94519.7</v>
      </c>
      <c r="J943" s="140">
        <f>J942+J930+J918+J906</f>
        <v>9046.9999999999982</v>
      </c>
      <c r="K943" s="82"/>
      <c r="L943" s="126"/>
      <c r="M943" s="99"/>
      <c r="N943" s="99"/>
    </row>
    <row r="944" spans="1:14" ht="15.75" customHeight="1" x14ac:dyDescent="0.2">
      <c r="A944" s="264" t="s">
        <v>220</v>
      </c>
      <c r="B944" s="265"/>
      <c r="C944" s="265"/>
      <c r="D944" s="265"/>
      <c r="E944" s="265"/>
      <c r="F944" s="265"/>
      <c r="G944" s="265"/>
      <c r="H944" s="265"/>
      <c r="I944" s="265"/>
      <c r="J944" s="265"/>
      <c r="K944" s="265"/>
    </row>
    <row r="945" spans="1:35" ht="15" x14ac:dyDescent="0.25">
      <c r="A945" s="302" t="s">
        <v>108</v>
      </c>
      <c r="B945" s="251" t="s">
        <v>109</v>
      </c>
      <c r="C945" s="237" t="s">
        <v>403</v>
      </c>
      <c r="D945" s="283" t="s">
        <v>207</v>
      </c>
      <c r="E945" s="222">
        <v>2015</v>
      </c>
      <c r="F945" s="156">
        <f t="shared" ref="F945:F950" si="162">SUM(G945:I945)</f>
        <v>2070.1</v>
      </c>
      <c r="G945" s="7"/>
      <c r="H945" s="7"/>
      <c r="I945" s="7">
        <v>2070.1</v>
      </c>
      <c r="J945" s="14"/>
      <c r="K945" s="283" t="s">
        <v>1</v>
      </c>
    </row>
    <row r="946" spans="1:35" ht="15" x14ac:dyDescent="0.25">
      <c r="A946" s="468"/>
      <c r="B946" s="294"/>
      <c r="C946" s="238"/>
      <c r="D946" s="238"/>
      <c r="E946" s="222">
        <v>2016</v>
      </c>
      <c r="F946" s="156">
        <f t="shared" si="162"/>
        <v>2173.6</v>
      </c>
      <c r="G946" s="7"/>
      <c r="H946" s="7"/>
      <c r="I946" s="7">
        <v>2173.6</v>
      </c>
      <c r="J946" s="14"/>
      <c r="K946" s="283"/>
    </row>
    <row r="947" spans="1:35" ht="15" x14ac:dyDescent="0.25">
      <c r="A947" s="468"/>
      <c r="B947" s="294"/>
      <c r="C947" s="238"/>
      <c r="D947" s="238"/>
      <c r="E947" s="222">
        <v>2017</v>
      </c>
      <c r="F947" s="156">
        <f t="shared" si="162"/>
        <v>2282.3000000000002</v>
      </c>
      <c r="G947" s="7"/>
      <c r="H947" s="7"/>
      <c r="I947" s="7">
        <v>2282.3000000000002</v>
      </c>
      <c r="J947" s="14"/>
      <c r="K947" s="283"/>
      <c r="L947" s="99"/>
    </row>
    <row r="948" spans="1:35" ht="15" x14ac:dyDescent="0.25">
      <c r="A948" s="468"/>
      <c r="B948" s="294"/>
      <c r="C948" s="238"/>
      <c r="D948" s="238"/>
      <c r="E948" s="222">
        <v>2018</v>
      </c>
      <c r="F948" s="156">
        <f t="shared" si="162"/>
        <v>3474</v>
      </c>
      <c r="G948" s="7"/>
      <c r="H948" s="7"/>
      <c r="I948" s="7">
        <f>3145.8+328.2</f>
        <v>3474</v>
      </c>
      <c r="J948" s="14"/>
      <c r="K948" s="283"/>
      <c r="L948" s="99"/>
    </row>
    <row r="949" spans="1:35" ht="15" x14ac:dyDescent="0.25">
      <c r="A949" s="468"/>
      <c r="B949" s="294"/>
      <c r="C949" s="238"/>
      <c r="D949" s="238"/>
      <c r="E949" s="222">
        <v>2019</v>
      </c>
      <c r="F949" s="156">
        <f t="shared" si="162"/>
        <v>3475</v>
      </c>
      <c r="G949" s="7"/>
      <c r="H949" s="7"/>
      <c r="I949" s="7">
        <f>3145.8+30.5+300-1.3</f>
        <v>3475</v>
      </c>
      <c r="J949" s="14"/>
      <c r="K949" s="283"/>
      <c r="L949" s="99"/>
    </row>
    <row r="950" spans="1:35" ht="15" x14ac:dyDescent="0.25">
      <c r="A950" s="468"/>
      <c r="B950" s="294"/>
      <c r="C950" s="238"/>
      <c r="D950" s="238"/>
      <c r="E950" s="222">
        <v>2020</v>
      </c>
      <c r="F950" s="156">
        <f t="shared" si="162"/>
        <v>5263.7</v>
      </c>
      <c r="G950" s="7"/>
      <c r="H950" s="7"/>
      <c r="I950" s="7">
        <f>1600+3663.7</f>
        <v>5263.7</v>
      </c>
      <c r="J950" s="14"/>
      <c r="K950" s="283"/>
    </row>
    <row r="951" spans="1:35" ht="15" x14ac:dyDescent="0.25">
      <c r="A951" s="468"/>
      <c r="B951" s="294"/>
      <c r="C951" s="238"/>
      <c r="D951" s="238"/>
      <c r="E951" s="222">
        <v>2021</v>
      </c>
      <c r="F951" s="156">
        <f t="shared" ref="F951:F955" si="163">SUM(G951:I951)</f>
        <v>2830.1</v>
      </c>
      <c r="G951" s="7"/>
      <c r="H951" s="7"/>
      <c r="I951" s="7">
        <f>1000+1830.1</f>
        <v>2830.1</v>
      </c>
      <c r="J951" s="14"/>
      <c r="K951" s="283"/>
    </row>
    <row r="952" spans="1:35" ht="15" x14ac:dyDescent="0.25">
      <c r="A952" s="468"/>
      <c r="B952" s="294"/>
      <c r="C952" s="238"/>
      <c r="D952" s="238"/>
      <c r="E952" s="222">
        <v>2022</v>
      </c>
      <c r="F952" s="156">
        <f t="shared" si="163"/>
        <v>849</v>
      </c>
      <c r="G952" s="7"/>
      <c r="H952" s="7"/>
      <c r="I952" s="7">
        <f>1120-271</f>
        <v>849</v>
      </c>
      <c r="J952" s="14"/>
      <c r="K952" s="283"/>
      <c r="L952" s="99"/>
    </row>
    <row r="953" spans="1:35" ht="15" x14ac:dyDescent="0.25">
      <c r="A953" s="468"/>
      <c r="B953" s="294"/>
      <c r="C953" s="238"/>
      <c r="D953" s="238"/>
      <c r="E953" s="222">
        <v>2023</v>
      </c>
      <c r="F953" s="156">
        <f t="shared" si="163"/>
        <v>1164.8</v>
      </c>
      <c r="G953" s="7"/>
      <c r="H953" s="7"/>
      <c r="I953" s="7">
        <v>1164.8</v>
      </c>
      <c r="J953" s="14"/>
      <c r="K953" s="283"/>
      <c r="L953" s="99"/>
    </row>
    <row r="954" spans="1:35" ht="15" x14ac:dyDescent="0.25">
      <c r="A954" s="468"/>
      <c r="B954" s="294"/>
      <c r="C954" s="238"/>
      <c r="D954" s="238"/>
      <c r="E954" s="222">
        <v>2024</v>
      </c>
      <c r="F954" s="156">
        <f t="shared" si="163"/>
        <v>1211.4000000000001</v>
      </c>
      <c r="G954" s="7"/>
      <c r="H954" s="7"/>
      <c r="I954" s="7">
        <v>1211.4000000000001</v>
      </c>
      <c r="J954" s="14"/>
      <c r="K954" s="283"/>
      <c r="L954" s="99"/>
    </row>
    <row r="955" spans="1:35" ht="15" x14ac:dyDescent="0.25">
      <c r="A955" s="468"/>
      <c r="B955" s="294"/>
      <c r="C955" s="238"/>
      <c r="D955" s="238"/>
      <c r="E955" s="222">
        <v>2025</v>
      </c>
      <c r="F955" s="156">
        <f t="shared" si="163"/>
        <v>1259.8</v>
      </c>
      <c r="G955" s="7"/>
      <c r="H955" s="7"/>
      <c r="I955" s="7">
        <v>1259.8</v>
      </c>
      <c r="J955" s="14"/>
      <c r="K955" s="283"/>
    </row>
    <row r="956" spans="1:35" ht="14.25" x14ac:dyDescent="0.2">
      <c r="A956" s="468"/>
      <c r="B956" s="294"/>
      <c r="C956" s="238"/>
      <c r="D956" s="238"/>
      <c r="E956" s="18" t="s">
        <v>18</v>
      </c>
      <c r="F956" s="140">
        <f>SUM(F945:F955)</f>
        <v>26053.8</v>
      </c>
      <c r="G956" s="8"/>
      <c r="H956" s="8"/>
      <c r="I956" s="8">
        <f>SUM(I945:I955)</f>
        <v>26053.8</v>
      </c>
      <c r="J956" s="13"/>
      <c r="K956" s="283"/>
    </row>
    <row r="957" spans="1:35" ht="25.5" x14ac:dyDescent="0.2">
      <c r="A957" s="317" t="s">
        <v>197</v>
      </c>
      <c r="B957" s="320"/>
      <c r="C957" s="320"/>
      <c r="D957" s="320"/>
      <c r="E957" s="54" t="s">
        <v>403</v>
      </c>
      <c r="F957" s="140">
        <f>F956</f>
        <v>26053.8</v>
      </c>
      <c r="G957" s="140"/>
      <c r="H957" s="140">
        <f>H956</f>
        <v>0</v>
      </c>
      <c r="I957" s="140">
        <f>I956</f>
        <v>26053.8</v>
      </c>
      <c r="J957" s="16"/>
      <c r="K957" s="82"/>
      <c r="L957" s="118"/>
      <c r="M957" s="99"/>
    </row>
    <row r="958" spans="1:35" ht="47.25" x14ac:dyDescent="0.25">
      <c r="A958" s="451" t="s">
        <v>204</v>
      </c>
      <c r="B958" s="452"/>
      <c r="C958" s="452"/>
      <c r="D958" s="453"/>
      <c r="E958" s="189" t="s">
        <v>403</v>
      </c>
      <c r="F958" s="189" t="s">
        <v>18</v>
      </c>
      <c r="G958" s="190" t="s">
        <v>10</v>
      </c>
      <c r="H958" s="191" t="s">
        <v>11</v>
      </c>
      <c r="I958" s="191" t="s">
        <v>12</v>
      </c>
      <c r="J958" s="191" t="s">
        <v>13</v>
      </c>
      <c r="K958" s="192"/>
      <c r="L958" s="126"/>
      <c r="M958" s="127"/>
      <c r="N958" s="127"/>
    </row>
    <row r="959" spans="1:35" ht="16.5" thickBot="1" x14ac:dyDescent="0.3">
      <c r="A959" s="454"/>
      <c r="B959" s="455"/>
      <c r="C959" s="455"/>
      <c r="D959" s="456"/>
      <c r="E959" s="86"/>
      <c r="F959" s="140">
        <f>F957+F943</f>
        <v>129620.50000000001</v>
      </c>
      <c r="G959" s="140"/>
      <c r="H959" s="140">
        <f>H957+H943</f>
        <v>0</v>
      </c>
      <c r="I959" s="140">
        <f>I957+I943</f>
        <v>120573.5</v>
      </c>
      <c r="J959" s="140">
        <f>J957+J943</f>
        <v>9046.9999999999982</v>
      </c>
      <c r="K959" s="51"/>
    </row>
    <row r="960" spans="1:35" ht="18" x14ac:dyDescent="0.2">
      <c r="A960" s="477" t="s">
        <v>301</v>
      </c>
      <c r="B960" s="478"/>
      <c r="C960" s="478"/>
      <c r="D960" s="478"/>
      <c r="E960" s="478"/>
      <c r="F960" s="478"/>
      <c r="G960" s="478"/>
      <c r="H960" s="478"/>
      <c r="I960" s="478"/>
      <c r="J960" s="478"/>
      <c r="K960" s="478"/>
      <c r="L960" s="40"/>
      <c r="M960" s="40"/>
      <c r="N960" s="40"/>
      <c r="O960" s="40"/>
      <c r="P960" s="40"/>
      <c r="Q960" s="40"/>
      <c r="R960" s="40"/>
      <c r="S960" s="40"/>
      <c r="T960" s="40"/>
      <c r="U960" s="40"/>
      <c r="V960" s="40"/>
      <c r="W960" s="38"/>
      <c r="X960" s="38"/>
      <c r="Y960" s="38"/>
      <c r="Z960" s="38"/>
      <c r="AA960" s="38"/>
      <c r="AB960" s="38"/>
      <c r="AC960" s="38"/>
      <c r="AD960" s="38"/>
      <c r="AE960" s="38"/>
      <c r="AF960" s="38"/>
      <c r="AG960" s="38"/>
      <c r="AH960" s="38"/>
      <c r="AI960" s="39"/>
    </row>
    <row r="961" spans="1:35" ht="30" customHeight="1" thickBot="1" x14ac:dyDescent="0.25">
      <c r="A961" s="264" t="s">
        <v>302</v>
      </c>
      <c r="B961" s="265"/>
      <c r="C961" s="265"/>
      <c r="D961" s="265"/>
      <c r="E961" s="260"/>
      <c r="F961" s="260"/>
      <c r="G961" s="260"/>
      <c r="H961" s="260"/>
      <c r="I961" s="260"/>
      <c r="J961" s="260"/>
      <c r="K961" s="260"/>
      <c r="L961" s="57"/>
      <c r="M961" s="57"/>
      <c r="N961" s="57"/>
      <c r="O961" s="57"/>
      <c r="P961" s="57"/>
      <c r="Q961" s="57"/>
      <c r="R961" s="57"/>
      <c r="S961" s="57"/>
      <c r="T961" s="57"/>
      <c r="U961" s="57"/>
      <c r="V961" s="57"/>
      <c r="W961" s="83"/>
      <c r="X961" s="83"/>
      <c r="Y961" s="83"/>
      <c r="Z961" s="83"/>
      <c r="AA961" s="83"/>
      <c r="AB961" s="83"/>
      <c r="AC961" s="83"/>
      <c r="AD961" s="83"/>
      <c r="AE961" s="83"/>
      <c r="AF961" s="83"/>
      <c r="AG961" s="83"/>
      <c r="AH961" s="83"/>
      <c r="AI961" s="84"/>
    </row>
    <row r="962" spans="1:35" ht="18" customHeight="1" x14ac:dyDescent="0.25">
      <c r="A962" s="266" t="s">
        <v>101</v>
      </c>
      <c r="B962" s="269" t="s">
        <v>303</v>
      </c>
      <c r="C962" s="237" t="s">
        <v>404</v>
      </c>
      <c r="D962" s="239" t="s">
        <v>207</v>
      </c>
      <c r="E962" s="222">
        <v>2017</v>
      </c>
      <c r="F962" s="142">
        <f t="shared" ref="F962:F965" si="164">SUM(G962:J962)</f>
        <v>28240.7</v>
      </c>
      <c r="G962" s="7"/>
      <c r="H962" s="7"/>
      <c r="I962" s="7">
        <f>25971.2+2269.5</f>
        <v>28240.7</v>
      </c>
      <c r="J962" s="7">
        <v>0</v>
      </c>
      <c r="K962" s="273" t="s">
        <v>379</v>
      </c>
      <c r="L962" s="28"/>
      <c r="M962" s="28"/>
      <c r="N962" s="28"/>
      <c r="O962" s="28"/>
      <c r="P962" s="28"/>
      <c r="Q962" s="28"/>
      <c r="R962" s="28"/>
      <c r="S962" s="28"/>
      <c r="T962" s="28"/>
      <c r="U962" s="28"/>
      <c r="V962" s="28"/>
    </row>
    <row r="963" spans="1:35" ht="18" customHeight="1" x14ac:dyDescent="0.25">
      <c r="A963" s="267"/>
      <c r="B963" s="270"/>
      <c r="C963" s="238"/>
      <c r="D963" s="254"/>
      <c r="E963" s="222">
        <v>2018</v>
      </c>
      <c r="F963" s="156">
        <f t="shared" si="164"/>
        <v>31523.7</v>
      </c>
      <c r="G963" s="7"/>
      <c r="H963" s="7"/>
      <c r="I963" s="7">
        <f>28601+2922.7</f>
        <v>31523.7</v>
      </c>
      <c r="J963" s="7">
        <v>0</v>
      </c>
      <c r="K963" s="274"/>
      <c r="L963" s="28"/>
      <c r="M963" s="28"/>
      <c r="N963" s="28"/>
      <c r="O963" s="28"/>
      <c r="P963" s="28"/>
      <c r="Q963" s="28"/>
      <c r="R963" s="28"/>
      <c r="S963" s="28"/>
      <c r="T963" s="28"/>
      <c r="U963" s="28"/>
      <c r="V963" s="28"/>
    </row>
    <row r="964" spans="1:35" ht="18" customHeight="1" x14ac:dyDescent="0.25">
      <c r="A964" s="267"/>
      <c r="B964" s="270"/>
      <c r="C964" s="238"/>
      <c r="D964" s="254"/>
      <c r="E964" s="222">
        <v>2019</v>
      </c>
      <c r="F964" s="156">
        <f t="shared" si="164"/>
        <v>39247.599999999999</v>
      </c>
      <c r="G964" s="7"/>
      <c r="H964" s="7"/>
      <c r="I964" s="7">
        <f>34762.5+2859.1+1226+400</f>
        <v>39247.599999999999</v>
      </c>
      <c r="J964" s="7">
        <v>0</v>
      </c>
      <c r="K964" s="274"/>
      <c r="L964" s="99"/>
    </row>
    <row r="965" spans="1:35" ht="18" customHeight="1" x14ac:dyDescent="0.25">
      <c r="A965" s="267"/>
      <c r="B965" s="270"/>
      <c r="C965" s="238"/>
      <c r="D965" s="254"/>
      <c r="E965" s="222">
        <v>2020</v>
      </c>
      <c r="F965" s="156">
        <f t="shared" si="164"/>
        <v>37347</v>
      </c>
      <c r="G965" s="7"/>
      <c r="H965" s="7"/>
      <c r="I965" s="7">
        <f>33512.5+3834.5</f>
        <v>37347</v>
      </c>
      <c r="J965" s="7">
        <v>0</v>
      </c>
      <c r="K965" s="274"/>
      <c r="L965" s="99"/>
    </row>
    <row r="966" spans="1:35" ht="18" customHeight="1" x14ac:dyDescent="0.25">
      <c r="A966" s="268"/>
      <c r="B966" s="271"/>
      <c r="C966" s="272"/>
      <c r="D966" s="254"/>
      <c r="E966" s="222">
        <v>2021</v>
      </c>
      <c r="F966" s="142">
        <f t="shared" ref="F966:F969" si="165">SUM(G966:J966)</f>
        <v>37364</v>
      </c>
      <c r="G966" s="7"/>
      <c r="H966" s="7"/>
      <c r="I966" s="7">
        <f>33512.5+3851.5</f>
        <v>37364</v>
      </c>
      <c r="J966" s="7">
        <v>0</v>
      </c>
      <c r="K966" s="274"/>
      <c r="L966" s="28"/>
      <c r="M966" s="28"/>
      <c r="N966" s="28"/>
      <c r="O966" s="28"/>
      <c r="P966" s="28"/>
      <c r="Q966" s="28"/>
      <c r="R966" s="28"/>
      <c r="S966" s="28"/>
      <c r="T966" s="28"/>
      <c r="U966" s="28"/>
      <c r="V966" s="28"/>
    </row>
    <row r="967" spans="1:35" ht="18" customHeight="1" x14ac:dyDescent="0.25">
      <c r="A967" s="268"/>
      <c r="B967" s="271"/>
      <c r="C967" s="272"/>
      <c r="D967" s="254"/>
      <c r="E967" s="222">
        <v>2022</v>
      </c>
      <c r="F967" s="156">
        <f t="shared" si="165"/>
        <v>32619</v>
      </c>
      <c r="G967" s="7"/>
      <c r="H967" s="7"/>
      <c r="I967" s="7">
        <f>34853-2234</f>
        <v>32619</v>
      </c>
      <c r="J967" s="7">
        <v>0</v>
      </c>
      <c r="K967" s="274"/>
      <c r="L967" s="28"/>
      <c r="M967" s="28"/>
      <c r="N967" s="28"/>
      <c r="O967" s="28"/>
      <c r="P967" s="28"/>
      <c r="Q967" s="28"/>
      <c r="R967" s="28"/>
      <c r="S967" s="28"/>
      <c r="T967" s="28"/>
      <c r="U967" s="28"/>
      <c r="V967" s="28"/>
    </row>
    <row r="968" spans="1:35" ht="18" customHeight="1" x14ac:dyDescent="0.25">
      <c r="A968" s="268"/>
      <c r="B968" s="271"/>
      <c r="C968" s="272"/>
      <c r="D968" s="254"/>
      <c r="E968" s="222">
        <v>2023</v>
      </c>
      <c r="F968" s="156">
        <f t="shared" si="165"/>
        <v>36247</v>
      </c>
      <c r="G968" s="7"/>
      <c r="H968" s="7"/>
      <c r="I968" s="7">
        <v>36247</v>
      </c>
      <c r="J968" s="7">
        <v>0</v>
      </c>
      <c r="K968" s="274"/>
      <c r="L968" s="99"/>
    </row>
    <row r="969" spans="1:35" ht="18" customHeight="1" x14ac:dyDescent="0.25">
      <c r="A969" s="268"/>
      <c r="B969" s="271"/>
      <c r="C969" s="272"/>
      <c r="D969" s="254"/>
      <c r="E969" s="222">
        <v>2024</v>
      </c>
      <c r="F969" s="156">
        <f t="shared" si="165"/>
        <v>37697</v>
      </c>
      <c r="G969" s="7"/>
      <c r="H969" s="7"/>
      <c r="I969" s="7">
        <v>37697</v>
      </c>
      <c r="J969" s="7">
        <v>0</v>
      </c>
      <c r="K969" s="274"/>
      <c r="L969" s="99"/>
    </row>
    <row r="970" spans="1:35" ht="18" customHeight="1" x14ac:dyDescent="0.25">
      <c r="A970" s="268"/>
      <c r="B970" s="271"/>
      <c r="C970" s="272"/>
      <c r="D970" s="254"/>
      <c r="E970" s="222">
        <v>2025</v>
      </c>
      <c r="F970" s="156">
        <f t="shared" ref="F970" si="166">SUM(G970:J970)</f>
        <v>39205</v>
      </c>
      <c r="G970" s="7"/>
      <c r="H970" s="7"/>
      <c r="I970" s="7">
        <v>39205</v>
      </c>
      <c r="J970" s="7">
        <v>0</v>
      </c>
      <c r="K970" s="274"/>
      <c r="L970" s="99"/>
    </row>
    <row r="971" spans="1:35" ht="18" customHeight="1" x14ac:dyDescent="0.2">
      <c r="A971" s="268"/>
      <c r="B971" s="271"/>
      <c r="C971" s="272"/>
      <c r="D971" s="254"/>
      <c r="E971" s="18" t="s">
        <v>18</v>
      </c>
      <c r="F971" s="141">
        <f>SUM(F962:F970)</f>
        <v>319491</v>
      </c>
      <c r="G971" s="141"/>
      <c r="H971" s="141">
        <f>SUM(H962:H965)</f>
        <v>0</v>
      </c>
      <c r="I971" s="141">
        <f>SUM(I962:I970)</f>
        <v>319491</v>
      </c>
      <c r="J971" s="141">
        <f>SUM(J962:J965)</f>
        <v>0</v>
      </c>
      <c r="K971" s="275"/>
    </row>
    <row r="972" spans="1:35" ht="25.5" x14ac:dyDescent="0.2">
      <c r="A972" s="286" t="s">
        <v>194</v>
      </c>
      <c r="B972" s="287"/>
      <c r="C972" s="287"/>
      <c r="D972" s="287"/>
      <c r="E972" s="6" t="s">
        <v>404</v>
      </c>
      <c r="F972" s="158">
        <f>SUM(F962:F970)</f>
        <v>319491</v>
      </c>
      <c r="G972" s="147"/>
      <c r="H972" s="8">
        <f>SUM(H962:H965)</f>
        <v>0</v>
      </c>
      <c r="I972" s="8">
        <f>SUM(I962:I970)</f>
        <v>319491</v>
      </c>
      <c r="J972" s="147"/>
      <c r="K972" s="6"/>
    </row>
    <row r="973" spans="1:35" ht="18" customHeight="1" thickBot="1" x14ac:dyDescent="0.25">
      <c r="A973" s="264" t="s">
        <v>304</v>
      </c>
      <c r="B973" s="265"/>
      <c r="C973" s="265"/>
      <c r="D973" s="265"/>
      <c r="E973" s="260"/>
      <c r="F973" s="260"/>
      <c r="G973" s="260"/>
      <c r="H973" s="260"/>
      <c r="I973" s="260"/>
      <c r="J973" s="260"/>
      <c r="K973" s="260"/>
      <c r="L973" s="57"/>
      <c r="M973" s="57"/>
      <c r="N973" s="57"/>
      <c r="O973" s="57"/>
      <c r="P973" s="57"/>
      <c r="Q973" s="57"/>
      <c r="R973" s="57"/>
      <c r="S973" s="57"/>
      <c r="T973" s="57"/>
      <c r="U973" s="57"/>
      <c r="V973" s="57"/>
      <c r="W973" s="83"/>
      <c r="X973" s="83"/>
      <c r="Y973" s="83"/>
      <c r="Z973" s="83"/>
      <c r="AA973" s="83"/>
      <c r="AB973" s="83"/>
      <c r="AC973" s="83"/>
      <c r="AD973" s="83"/>
      <c r="AE973" s="83"/>
      <c r="AF973" s="83"/>
      <c r="AG973" s="83"/>
      <c r="AH973" s="83"/>
      <c r="AI973" s="84"/>
    </row>
    <row r="974" spans="1:35" ht="18" customHeight="1" x14ac:dyDescent="0.25">
      <c r="A974" s="266" t="s">
        <v>108</v>
      </c>
      <c r="B974" s="269" t="s">
        <v>308</v>
      </c>
      <c r="C974" s="237" t="s">
        <v>404</v>
      </c>
      <c r="D974" s="239" t="s">
        <v>207</v>
      </c>
      <c r="E974" s="222">
        <v>2017</v>
      </c>
      <c r="F974" s="142">
        <f t="shared" ref="F974:F977" si="167">SUM(G974:J974)</f>
        <v>21630.400000000001</v>
      </c>
      <c r="G974" s="7"/>
      <c r="H974" s="7"/>
      <c r="I974" s="7">
        <f>20880.4+750</f>
        <v>21630.400000000001</v>
      </c>
      <c r="J974" s="7">
        <v>0</v>
      </c>
      <c r="K974" s="273" t="s">
        <v>380</v>
      </c>
      <c r="L974" s="28"/>
      <c r="M974" s="28"/>
      <c r="N974" s="28"/>
      <c r="O974" s="28"/>
      <c r="P974" s="28"/>
      <c r="Q974" s="28"/>
      <c r="R974" s="28"/>
      <c r="S974" s="28"/>
      <c r="T974" s="28"/>
      <c r="U974" s="28"/>
      <c r="V974" s="28"/>
    </row>
    <row r="975" spans="1:35" ht="18" customHeight="1" x14ac:dyDescent="0.25">
      <c r="A975" s="267"/>
      <c r="B975" s="270"/>
      <c r="C975" s="238"/>
      <c r="D975" s="254"/>
      <c r="E975" s="222">
        <v>2018</v>
      </c>
      <c r="F975" s="156">
        <f t="shared" si="167"/>
        <v>23781.399999999998</v>
      </c>
      <c r="G975" s="7"/>
      <c r="H975" s="7"/>
      <c r="I975" s="7">
        <f>23157.1+624.3</f>
        <v>23781.399999999998</v>
      </c>
      <c r="J975" s="7">
        <v>0</v>
      </c>
      <c r="K975" s="469"/>
      <c r="L975" s="28"/>
      <c r="M975" s="28"/>
      <c r="N975" s="28"/>
      <c r="O975" s="28"/>
      <c r="P975" s="28"/>
      <c r="Q975" s="28"/>
      <c r="R975" s="28"/>
      <c r="S975" s="28"/>
      <c r="T975" s="28"/>
      <c r="U975" s="28"/>
      <c r="V975" s="28"/>
    </row>
    <row r="976" spans="1:35" ht="18" customHeight="1" x14ac:dyDescent="0.25">
      <c r="A976" s="267"/>
      <c r="B976" s="270"/>
      <c r="C976" s="238"/>
      <c r="D976" s="254"/>
      <c r="E976" s="222">
        <v>2019</v>
      </c>
      <c r="F976" s="156">
        <f t="shared" si="167"/>
        <v>28828.400000000001</v>
      </c>
      <c r="G976" s="7"/>
      <c r="H976" s="7"/>
      <c r="I976" s="7">
        <f>27966+1129-140-126.6</f>
        <v>28828.400000000001</v>
      </c>
      <c r="J976" s="7">
        <v>0</v>
      </c>
      <c r="K976" s="469"/>
      <c r="L976" s="99"/>
    </row>
    <row r="977" spans="1:35" ht="18" customHeight="1" x14ac:dyDescent="0.25">
      <c r="A977" s="267"/>
      <c r="B977" s="270"/>
      <c r="C977" s="238"/>
      <c r="D977" s="254"/>
      <c r="E977" s="222">
        <v>2020</v>
      </c>
      <c r="F977" s="156">
        <f t="shared" si="167"/>
        <v>29401.200000000001</v>
      </c>
      <c r="G977" s="7"/>
      <c r="H977" s="7"/>
      <c r="I977" s="7">
        <f>24671.9-2540+7269.3</f>
        <v>29401.200000000001</v>
      </c>
      <c r="J977" s="7">
        <v>0</v>
      </c>
      <c r="K977" s="469"/>
      <c r="L977" s="99"/>
    </row>
    <row r="978" spans="1:35" ht="18" customHeight="1" x14ac:dyDescent="0.25">
      <c r="A978" s="268"/>
      <c r="B978" s="271"/>
      <c r="C978" s="272"/>
      <c r="D978" s="254"/>
      <c r="E978" s="222">
        <v>2021</v>
      </c>
      <c r="F978" s="142">
        <f t="shared" ref="F978:F981" si="168">SUM(G978:J978)</f>
        <v>26773.5</v>
      </c>
      <c r="G978" s="7"/>
      <c r="H978" s="7"/>
      <c r="I978" s="7">
        <f>24131.6-9000+11641.9</f>
        <v>26773.5</v>
      </c>
      <c r="J978" s="7">
        <v>0</v>
      </c>
      <c r="K978" s="469"/>
      <c r="L978" s="28"/>
      <c r="M978" s="28"/>
      <c r="N978" s="28"/>
      <c r="O978" s="28"/>
      <c r="P978" s="28"/>
      <c r="Q978" s="28"/>
      <c r="R978" s="28"/>
      <c r="S978" s="28"/>
      <c r="T978" s="28"/>
      <c r="U978" s="28"/>
      <c r="V978" s="28"/>
    </row>
    <row r="979" spans="1:35" ht="18" customHeight="1" x14ac:dyDescent="0.25">
      <c r="A979" s="268"/>
      <c r="B979" s="271"/>
      <c r="C979" s="272"/>
      <c r="D979" s="254"/>
      <c r="E979" s="222">
        <v>2022</v>
      </c>
      <c r="F979" s="156">
        <f t="shared" si="168"/>
        <v>22961</v>
      </c>
      <c r="G979" s="7"/>
      <c r="H979" s="7"/>
      <c r="I979" s="7">
        <f>25096.9-2135.9</f>
        <v>22961</v>
      </c>
      <c r="J979" s="7">
        <v>0</v>
      </c>
      <c r="K979" s="469"/>
      <c r="L979" s="28"/>
      <c r="M979" s="28"/>
      <c r="N979" s="28"/>
      <c r="O979" s="28"/>
      <c r="P979" s="28"/>
      <c r="Q979" s="28"/>
      <c r="R979" s="28"/>
      <c r="S979" s="28"/>
      <c r="T979" s="28"/>
      <c r="U979" s="28"/>
      <c r="V979" s="28"/>
    </row>
    <row r="980" spans="1:35" ht="18" customHeight="1" x14ac:dyDescent="0.25">
      <c r="A980" s="268"/>
      <c r="B980" s="271"/>
      <c r="C980" s="272"/>
      <c r="D980" s="254"/>
      <c r="E980" s="222">
        <v>2023</v>
      </c>
      <c r="F980" s="156">
        <f t="shared" si="168"/>
        <v>26100</v>
      </c>
      <c r="G980" s="7"/>
      <c r="H980" s="7"/>
      <c r="I980" s="7">
        <v>26100</v>
      </c>
      <c r="J980" s="7">
        <v>0</v>
      </c>
      <c r="K980" s="469"/>
      <c r="L980" s="99"/>
    </row>
    <row r="981" spans="1:35" ht="18" customHeight="1" x14ac:dyDescent="0.25">
      <c r="A981" s="268"/>
      <c r="B981" s="271"/>
      <c r="C981" s="272"/>
      <c r="D981" s="254"/>
      <c r="E981" s="222">
        <v>2024</v>
      </c>
      <c r="F981" s="156">
        <f t="shared" si="168"/>
        <v>27144</v>
      </c>
      <c r="G981" s="7"/>
      <c r="H981" s="7"/>
      <c r="I981" s="7">
        <v>27144</v>
      </c>
      <c r="J981" s="7">
        <v>0</v>
      </c>
      <c r="K981" s="469"/>
      <c r="L981" s="99"/>
    </row>
    <row r="982" spans="1:35" ht="18" customHeight="1" x14ac:dyDescent="0.25">
      <c r="A982" s="268"/>
      <c r="B982" s="271"/>
      <c r="C982" s="272"/>
      <c r="D982" s="254"/>
      <c r="E982" s="222">
        <v>2025</v>
      </c>
      <c r="F982" s="156">
        <f t="shared" ref="F982" si="169">SUM(G982:J982)</f>
        <v>28230</v>
      </c>
      <c r="G982" s="7"/>
      <c r="H982" s="7"/>
      <c r="I982" s="7">
        <v>28230</v>
      </c>
      <c r="J982" s="7">
        <v>0</v>
      </c>
      <c r="K982" s="469"/>
      <c r="L982" s="99"/>
    </row>
    <row r="983" spans="1:35" ht="18" customHeight="1" x14ac:dyDescent="0.2">
      <c r="A983" s="268"/>
      <c r="B983" s="271"/>
      <c r="C983" s="272"/>
      <c r="D983" s="254"/>
      <c r="E983" s="18" t="s">
        <v>18</v>
      </c>
      <c r="F983" s="141">
        <f>SUM(F974:F982)</f>
        <v>234849.90000000002</v>
      </c>
      <c r="G983" s="141"/>
      <c r="H983" s="141">
        <f>SUM(H974:H977)</f>
        <v>0</v>
      </c>
      <c r="I983" s="141">
        <f>SUM(I974:I982)</f>
        <v>234849.90000000002</v>
      </c>
      <c r="J983" s="141">
        <f>SUM(J974:J977)</f>
        <v>0</v>
      </c>
      <c r="K983" s="470"/>
    </row>
    <row r="984" spans="1:35" ht="25.5" x14ac:dyDescent="0.2">
      <c r="A984" s="286" t="s">
        <v>197</v>
      </c>
      <c r="B984" s="287"/>
      <c r="C984" s="287"/>
      <c r="D984" s="287"/>
      <c r="E984" s="6" t="s">
        <v>404</v>
      </c>
      <c r="F984" s="158">
        <f>SUM(F974:F982)</f>
        <v>234849.90000000002</v>
      </c>
      <c r="G984" s="147"/>
      <c r="H984" s="8">
        <f>SUM(H974:H977)</f>
        <v>0</v>
      </c>
      <c r="I984" s="8">
        <f>SUM(I974:I982)</f>
        <v>234849.90000000002</v>
      </c>
      <c r="J984" s="147"/>
      <c r="K984" s="6"/>
    </row>
    <row r="985" spans="1:35" ht="30" customHeight="1" thickBot="1" x14ac:dyDescent="0.25">
      <c r="A985" s="264" t="s">
        <v>305</v>
      </c>
      <c r="B985" s="265"/>
      <c r="C985" s="265"/>
      <c r="D985" s="265"/>
      <c r="E985" s="260"/>
      <c r="F985" s="260"/>
      <c r="G985" s="260"/>
      <c r="H985" s="260"/>
      <c r="I985" s="260"/>
      <c r="J985" s="260"/>
      <c r="K985" s="260"/>
      <c r="L985" s="57"/>
      <c r="M985" s="57"/>
      <c r="N985" s="57"/>
      <c r="O985" s="57"/>
      <c r="P985" s="57"/>
      <c r="Q985" s="57"/>
      <c r="R985" s="57"/>
      <c r="S985" s="57"/>
      <c r="T985" s="57"/>
      <c r="U985" s="57"/>
      <c r="V985" s="57"/>
      <c r="W985" s="83"/>
      <c r="X985" s="83"/>
      <c r="Y985" s="83"/>
      <c r="Z985" s="83"/>
      <c r="AA985" s="83"/>
      <c r="AB985" s="83"/>
      <c r="AC985" s="83"/>
      <c r="AD985" s="83"/>
      <c r="AE985" s="83"/>
      <c r="AF985" s="83"/>
      <c r="AG985" s="83"/>
      <c r="AH985" s="83"/>
      <c r="AI985" s="84"/>
    </row>
    <row r="986" spans="1:35" ht="18" customHeight="1" x14ac:dyDescent="0.25">
      <c r="A986" s="266" t="s">
        <v>383</v>
      </c>
      <c r="B986" s="269" t="s">
        <v>306</v>
      </c>
      <c r="C986" s="237" t="s">
        <v>404</v>
      </c>
      <c r="D986" s="239" t="s">
        <v>207</v>
      </c>
      <c r="E986" s="222">
        <v>2017</v>
      </c>
      <c r="F986" s="142">
        <f t="shared" ref="F986:F989" si="170">SUM(G986:J986)</f>
        <v>10020.200000000001</v>
      </c>
      <c r="G986" s="7"/>
      <c r="H986" s="7"/>
      <c r="I986" s="7">
        <f>9704.7+315.5</f>
        <v>10020.200000000001</v>
      </c>
      <c r="J986" s="7">
        <v>0</v>
      </c>
      <c r="K986" s="273" t="s">
        <v>381</v>
      </c>
      <c r="L986" s="28"/>
      <c r="M986" s="28"/>
      <c r="N986" s="28"/>
      <c r="O986" s="28"/>
      <c r="P986" s="28"/>
      <c r="Q986" s="28"/>
      <c r="R986" s="28"/>
      <c r="S986" s="28"/>
      <c r="T986" s="28"/>
      <c r="U986" s="28"/>
      <c r="V986" s="28"/>
    </row>
    <row r="987" spans="1:35" ht="18" customHeight="1" x14ac:dyDescent="0.25">
      <c r="A987" s="267"/>
      <c r="B987" s="270"/>
      <c r="C987" s="238"/>
      <c r="D987" s="254"/>
      <c r="E987" s="222">
        <v>2018</v>
      </c>
      <c r="F987" s="156">
        <f t="shared" si="170"/>
        <v>10139.9</v>
      </c>
      <c r="G987" s="7"/>
      <c r="H987" s="7"/>
      <c r="I987" s="7">
        <f>10014.3+125.6</f>
        <v>10139.9</v>
      </c>
      <c r="J987" s="7">
        <v>0</v>
      </c>
      <c r="K987" s="469"/>
      <c r="L987" s="28"/>
      <c r="M987" s="28"/>
      <c r="N987" s="28"/>
      <c r="O987" s="28"/>
      <c r="P987" s="28"/>
      <c r="Q987" s="28"/>
      <c r="R987" s="28"/>
      <c r="S987" s="28"/>
      <c r="T987" s="28"/>
      <c r="U987" s="28"/>
      <c r="V987" s="28"/>
    </row>
    <row r="988" spans="1:35" ht="18" customHeight="1" x14ac:dyDescent="0.25">
      <c r="A988" s="267"/>
      <c r="B988" s="270"/>
      <c r="C988" s="238"/>
      <c r="D988" s="254"/>
      <c r="E988" s="222">
        <v>2019</v>
      </c>
      <c r="F988" s="156">
        <f t="shared" si="170"/>
        <v>11783.099999999999</v>
      </c>
      <c r="G988" s="7"/>
      <c r="H988" s="7"/>
      <c r="I988" s="7">
        <f>11399.3+382-20+21.8</f>
        <v>11783.099999999999</v>
      </c>
      <c r="J988" s="7">
        <v>0</v>
      </c>
      <c r="K988" s="469"/>
      <c r="L988" s="99"/>
    </row>
    <row r="989" spans="1:35" ht="18" customHeight="1" x14ac:dyDescent="0.25">
      <c r="A989" s="267"/>
      <c r="B989" s="270"/>
      <c r="C989" s="238"/>
      <c r="D989" s="254"/>
      <c r="E989" s="222">
        <v>2020</v>
      </c>
      <c r="F989" s="156">
        <f t="shared" si="170"/>
        <v>11936.4</v>
      </c>
      <c r="G989" s="7"/>
      <c r="H989" s="7"/>
      <c r="I989" s="7">
        <f>10602.8+1333.6</f>
        <v>11936.4</v>
      </c>
      <c r="J989" s="7">
        <v>0</v>
      </c>
      <c r="K989" s="469"/>
      <c r="L989" s="99"/>
    </row>
    <row r="990" spans="1:35" ht="18" customHeight="1" x14ac:dyDescent="0.25">
      <c r="A990" s="268"/>
      <c r="B990" s="271"/>
      <c r="C990" s="272"/>
      <c r="D990" s="254"/>
      <c r="E990" s="222">
        <v>2021</v>
      </c>
      <c r="F990" s="142">
        <f t="shared" ref="F990:F993" si="171">SUM(G990:J990)</f>
        <v>11034.6</v>
      </c>
      <c r="G990" s="7"/>
      <c r="H990" s="7"/>
      <c r="I990" s="7">
        <f>10108+926.6</f>
        <v>11034.6</v>
      </c>
      <c r="J990" s="7">
        <v>0</v>
      </c>
      <c r="K990" s="469"/>
      <c r="L990" s="28"/>
      <c r="M990" s="28"/>
      <c r="N990" s="28"/>
      <c r="O990" s="28"/>
      <c r="P990" s="28"/>
      <c r="Q990" s="28"/>
      <c r="R990" s="28"/>
      <c r="S990" s="28"/>
      <c r="T990" s="28"/>
      <c r="U990" s="28"/>
      <c r="V990" s="28"/>
    </row>
    <row r="991" spans="1:35" ht="18" customHeight="1" x14ac:dyDescent="0.25">
      <c r="A991" s="268"/>
      <c r="B991" s="271"/>
      <c r="C991" s="272"/>
      <c r="D991" s="254"/>
      <c r="E991" s="222">
        <v>2022</v>
      </c>
      <c r="F991" s="156">
        <f t="shared" si="171"/>
        <v>13504</v>
      </c>
      <c r="G991" s="7"/>
      <c r="H991" s="7"/>
      <c r="I991" s="7">
        <f>10512.3+2991.7</f>
        <v>13504</v>
      </c>
      <c r="J991" s="7">
        <v>0</v>
      </c>
      <c r="K991" s="469"/>
      <c r="L991" s="28"/>
      <c r="M991" s="28"/>
      <c r="N991" s="28"/>
      <c r="O991" s="28"/>
      <c r="P991" s="28"/>
      <c r="Q991" s="28"/>
      <c r="R991" s="28"/>
      <c r="S991" s="28"/>
      <c r="T991" s="28"/>
      <c r="U991" s="28"/>
      <c r="V991" s="28"/>
    </row>
    <row r="992" spans="1:35" ht="18" customHeight="1" x14ac:dyDescent="0.25">
      <c r="A992" s="268"/>
      <c r="B992" s="271"/>
      <c r="C992" s="272"/>
      <c r="D992" s="254"/>
      <c r="E992" s="222">
        <v>2023</v>
      </c>
      <c r="F992" s="156">
        <f t="shared" si="171"/>
        <v>10933</v>
      </c>
      <c r="G992" s="7"/>
      <c r="H992" s="7"/>
      <c r="I992" s="7">
        <v>10933</v>
      </c>
      <c r="J992" s="7">
        <v>0</v>
      </c>
      <c r="K992" s="469"/>
      <c r="L992" s="99"/>
    </row>
    <row r="993" spans="1:18" ht="18" customHeight="1" x14ac:dyDescent="0.25">
      <c r="A993" s="268"/>
      <c r="B993" s="271"/>
      <c r="C993" s="272"/>
      <c r="D993" s="254"/>
      <c r="E993" s="222">
        <v>2024</v>
      </c>
      <c r="F993" s="156">
        <f t="shared" si="171"/>
        <v>11370</v>
      </c>
      <c r="G993" s="7"/>
      <c r="H993" s="7"/>
      <c r="I993" s="7">
        <v>11370</v>
      </c>
      <c r="J993" s="7">
        <v>0</v>
      </c>
      <c r="K993" s="469"/>
      <c r="L993" s="99"/>
    </row>
    <row r="994" spans="1:18" ht="18" customHeight="1" x14ac:dyDescent="0.25">
      <c r="A994" s="268"/>
      <c r="B994" s="271"/>
      <c r="C994" s="272"/>
      <c r="D994" s="254"/>
      <c r="E994" s="222">
        <v>2025</v>
      </c>
      <c r="F994" s="156">
        <f t="shared" ref="F994" si="172">SUM(G994:J994)</f>
        <v>11825</v>
      </c>
      <c r="G994" s="7"/>
      <c r="H994" s="7"/>
      <c r="I994" s="7">
        <v>11825</v>
      </c>
      <c r="J994" s="7">
        <v>0</v>
      </c>
      <c r="K994" s="469"/>
      <c r="L994" s="99"/>
    </row>
    <row r="995" spans="1:18" ht="18" customHeight="1" x14ac:dyDescent="0.2">
      <c r="A995" s="268"/>
      <c r="B995" s="271"/>
      <c r="C995" s="272"/>
      <c r="D995" s="254"/>
      <c r="E995" s="18" t="s">
        <v>18</v>
      </c>
      <c r="F995" s="140">
        <f>SUM(F986:F994)</f>
        <v>102546.2</v>
      </c>
      <c r="G995" s="140"/>
      <c r="H995" s="140">
        <f>SUM(H986:H989)</f>
        <v>0</v>
      </c>
      <c r="I995" s="140">
        <f>SUM(I986:I994)</f>
        <v>102546.2</v>
      </c>
      <c r="J995" s="140">
        <f>SUM(J986:J989)</f>
        <v>0</v>
      </c>
      <c r="K995" s="470"/>
    </row>
    <row r="996" spans="1:18" ht="26.25" thickBot="1" x14ac:dyDescent="0.25">
      <c r="A996" s="286" t="s">
        <v>185</v>
      </c>
      <c r="B996" s="287"/>
      <c r="C996" s="287"/>
      <c r="D996" s="287"/>
      <c r="E996" s="6" t="s">
        <v>404</v>
      </c>
      <c r="F996" s="186">
        <f>SUM(F986:F994)</f>
        <v>102546.2</v>
      </c>
      <c r="G996" s="147"/>
      <c r="H996" s="9">
        <f>SUM(H986:H989)</f>
        <v>0</v>
      </c>
      <c r="I996" s="9">
        <f>SUM(I986:I994)</f>
        <v>102546.2</v>
      </c>
      <c r="J996" s="147"/>
      <c r="K996" s="6"/>
    </row>
    <row r="997" spans="1:18" ht="47.25" x14ac:dyDescent="0.25">
      <c r="A997" s="471" t="s">
        <v>307</v>
      </c>
      <c r="B997" s="472"/>
      <c r="C997" s="472"/>
      <c r="D997" s="473"/>
      <c r="E997" s="198" t="s">
        <v>404</v>
      </c>
      <c r="F997" s="198" t="s">
        <v>18</v>
      </c>
      <c r="G997" s="199" t="s">
        <v>10</v>
      </c>
      <c r="H997" s="200" t="s">
        <v>11</v>
      </c>
      <c r="I997" s="200" t="s">
        <v>12</v>
      </c>
      <c r="J997" s="200" t="s">
        <v>13</v>
      </c>
      <c r="K997" s="201"/>
      <c r="L997" s="107"/>
      <c r="M997" s="99"/>
    </row>
    <row r="998" spans="1:18" ht="16.5" thickBot="1" x14ac:dyDescent="0.3">
      <c r="A998" s="474"/>
      <c r="B998" s="475"/>
      <c r="C998" s="475"/>
      <c r="D998" s="476"/>
      <c r="E998" s="202"/>
      <c r="F998" s="197">
        <f>F996+F984+F972</f>
        <v>656887.10000000009</v>
      </c>
      <c r="G998" s="197"/>
      <c r="H998" s="197">
        <f>H996+H984+H972</f>
        <v>0</v>
      </c>
      <c r="I998" s="197">
        <f>I996+I984+I972</f>
        <v>656887.10000000009</v>
      </c>
      <c r="J998" s="146">
        <f>J996+J984+J972</f>
        <v>0</v>
      </c>
      <c r="K998" s="51"/>
    </row>
    <row r="999" spans="1:18" ht="47.25" x14ac:dyDescent="0.25">
      <c r="A999" s="457" t="s">
        <v>110</v>
      </c>
      <c r="B999" s="458"/>
      <c r="C999" s="458"/>
      <c r="D999" s="459"/>
      <c r="E999" s="198" t="s">
        <v>122</v>
      </c>
      <c r="F999" s="198" t="s">
        <v>18</v>
      </c>
      <c r="G999" s="199" t="s">
        <v>10</v>
      </c>
      <c r="H999" s="200" t="s">
        <v>11</v>
      </c>
      <c r="I999" s="200" t="s">
        <v>12</v>
      </c>
      <c r="J999" s="218" t="s">
        <v>13</v>
      </c>
      <c r="K999" s="204"/>
    </row>
    <row r="1000" spans="1:18" ht="15" x14ac:dyDescent="0.25">
      <c r="A1000" s="460"/>
      <c r="B1000" s="461"/>
      <c r="C1000" s="461"/>
      <c r="D1000" s="462"/>
      <c r="E1000" s="222">
        <v>2015</v>
      </c>
      <c r="F1000" s="156">
        <f t="shared" ref="F1000:F1005" si="173">SUM(H1000:J1000)</f>
        <v>1157693.2999999998</v>
      </c>
      <c r="G1000" s="7"/>
      <c r="H1000" s="7">
        <f>H945+H931+H919+H907+H895+H857+H850+H843+H831+H819+H811+H803+H788+H776+H766+H754+H744+H737+H725+H713+H698+H690+H678+H666+H637+H627+H619+H612+H600+H589+H568+H544+H532+H525+H518+H505+H496+H468+H459+H435+H387+H375+H363+H331+H308+H268+H252+H229+H223+H220+H211+H156+H144+H108+H83+H50+H29+H22+H18+H16</f>
        <v>986489.1</v>
      </c>
      <c r="I1000" s="7">
        <f>I16+I18+I22+I29+I50+I57+I59+I83+I100+I108+I118+I128+I135+I144+I156+I168+I175+I211+I220+I229+I252+I268+I308+I331+I353+I363+I375+I387+I435+I459+I468+I496+I505+I518+I525+I532+I568+I589+I600+I612+I619+I627+I637+I666+I678+I690+I698+I713+I725+I737+I744+I754+I766+I776+I788+I803+I811+I819+I831+I843+I850+I857+I895+I907+I919+I931+I945+I544+I580</f>
        <v>170563.49999999997</v>
      </c>
      <c r="J1000" s="7">
        <f>J16+J18+J22+J29+J50+J57+J59+J83+J100+J108+J118+J128+J135+J144+J156+J168+J175+J211+J220+J229+J252+J268+J308+J331+J353+J363+J375+J387+J435+J459+J468+J496+J505+J518+J525+J532+J568+J589+J600+J612+J619+J627+J637+J666+J678+J690+J698+J713+J725+J737+J744+J754+J766+J776+J788+J803+J811+J819+J831+J843+J850+J857+J895+J907+J919+J931+J945</f>
        <v>640.69999999999993</v>
      </c>
      <c r="K1000" s="447"/>
    </row>
    <row r="1001" spans="1:18" ht="15" x14ac:dyDescent="0.25">
      <c r="A1001" s="460"/>
      <c r="B1001" s="461"/>
      <c r="C1001" s="461"/>
      <c r="D1001" s="462"/>
      <c r="E1001" s="222">
        <v>2016</v>
      </c>
      <c r="F1001" s="156">
        <f t="shared" si="173"/>
        <v>1134983.6000000001</v>
      </c>
      <c r="G1001" s="7"/>
      <c r="H1001" s="7">
        <f>H23+H30+H51+H60+H84+H101+H109+H119+H129+H136+H145+H157+H169+H176+H212+H221+H230+H253+H269+H309+H332+H354+H364+H376+H388+H436+H460+H469+H497+H506+H519+H526+H533+H569+H590+H601+H613+H620+H628+H638+H667+H679+H691+H699+H714+H726+H738+H745+H755+H767+H777+H789+H804+H812+H820+H832+H844+H851+H858+H896+H908+H920+H932+H946+H395+H196+H38+H238+H406</f>
        <v>934993.5</v>
      </c>
      <c r="I1001" s="7">
        <f>I23+I30+I51+I60+I84+I101+I109+I119+I129+I136+I145+I157+I169+I176+I212+I221+I230+I253+I269+I309+I332+I354+I364+I376+I388+I436+I460+I469+I497+I506+I519+I526+I533+I569+I590+I601+I613+I620+I628+I638+I667+I679+I691+I699+I714+I726+I738+I745+I755+I767+I777+I789+I804+I812+I820+I832+I844+I851+I858+I896+I908+I920+I932+I946+I581+I551+I260+I91+I395+I238+I38+I406</f>
        <v>199061.29999999996</v>
      </c>
      <c r="J1001" s="7">
        <f>J23+J30+J51+J60+J84+J101+J109+J119+J129+J136+J145+J157+J169+J176+J212+J221+J230+J253+J269+J309+J332+J354+J364+J376+J388+J436+J460+J469+J497+J506+J519+J526+J533+J569+J590+J601+J613+J620+J628+J638+J667+J679+J691+J699+J714+J726+J738+J745+J755+J767+J777+J789+J804+J812+J820+J832+J844+J851+J858+J896+J908+J920+J932+J946</f>
        <v>928.79999999999984</v>
      </c>
      <c r="K1001" s="448"/>
      <c r="P1001" s="4">
        <f>SUM(P1004:P1009)/1000</f>
        <v>9277.5</v>
      </c>
      <c r="R1001" s="107">
        <f>P1001+N1004</f>
        <v>-50685.600000000093</v>
      </c>
    </row>
    <row r="1002" spans="1:18" ht="15" x14ac:dyDescent="0.25">
      <c r="A1002" s="460"/>
      <c r="B1002" s="461"/>
      <c r="C1002" s="461"/>
      <c r="D1002" s="462"/>
      <c r="E1002" s="222">
        <v>2017</v>
      </c>
      <c r="F1002" s="156">
        <f t="shared" si="173"/>
        <v>1454809.5</v>
      </c>
      <c r="G1002" s="7"/>
      <c r="H1002" s="7">
        <f>H24+H31+H39+H42+H52+H61+H71+H85+H92+H102+H110+H120+H130+H137+H146+H158+H170+H177+H197+H213+H225+H231+H239+H242+H244+H247+H254+H261+H270+H280+H285+H482+H295+H310+H320+H333+H343+H355+H365+H377+H389+H396+H407+H413+H423+H437+H447+H461+H470+H498+H507+H520+H527+H534+H546+H552+H558+H570+H582+H591+H602+H614+H621+H629+H639+H651+H668+H680+H692+H700+H715+H727+H739+H746+H756+H768+H778+H790+H805+H813+H821+H833+H845+H852+H859+H866+H897+H909+H921+H933+H947+H962+H974+H986</f>
        <v>1075219.2</v>
      </c>
      <c r="I1002" s="7">
        <f>I24+I31+I39+I42+I52+I61+I71+I85+I92+I102+I110+I120+I130+I137+I146+I158+I170+I177+I197+I213+I225+I231+I239+I242+I244+I247+I254+I261+I270+I280+I285+I482+I295+I310+I320+I333+I343+I355+I365+I377+I389+I396+I407+I413+I423+I437+I447+I461+I470+I498+I507+I520+I527+I534+I546+I552+I558+I570+I582+I591+I602+I614+I621+I629+I639+I651+I668+I680+I692+I700+I715+I727+I739+I746+I756+I768+I778+I790+I805+I813+I821+I833+I845+I852+I859+I866+I897+I909+I921+I933+I947+I962+I974+I986+I46</f>
        <v>378497.69999999995</v>
      </c>
      <c r="J1002" s="7">
        <f>J24+J31+J52+J61+J85+J102+J110+J120+J130+J137+J146+J158+J170+J177+J213+J231+J254+J270+J310+J333+J355+J365+J377+J389+J437+J461+J470+J498+J507+J520+J527+J534+J570+J591+J602+J614+J621+J629+J639+J668+J680+J692+J700+J715+J727+J739+J746+J756+J768+J778+J790+J805+J813+J821+J833+J845+J852+J859+J897+J909+J921+J933+J947</f>
        <v>1092.5999999999999</v>
      </c>
      <c r="K1002" s="448"/>
    </row>
    <row r="1003" spans="1:18" ht="15" x14ac:dyDescent="0.25">
      <c r="A1003" s="460"/>
      <c r="B1003" s="461"/>
      <c r="C1003" s="461"/>
      <c r="D1003" s="462"/>
      <c r="E1003" s="222">
        <v>2018</v>
      </c>
      <c r="F1003" s="156">
        <f t="shared" si="173"/>
        <v>1602951.9000000004</v>
      </c>
      <c r="G1003" s="7"/>
      <c r="H1003" s="7">
        <f>H25+H32+H53+H62+H86+H103+H111+H121+H131+H138+H147+H159+H171+H178+H214+H232+H255+H271+H311+H334+H356+H366+H378+H390+H438+H462+H471+H499+H508+H521+H528+H535+H571+H592+H603+H615+H622+H630+H640+H669+H681+H693+H701+H716+H728+H740+H747+H757+H769+H779+H791+H806+H814+H822+H834+H846+H853+H860+H898+H910+H922+H934+H948+H198+H226+H72+H286+H321+H344+H414+H652+H40+H43+H240+H249+H245</f>
        <v>1207746.5000000002</v>
      </c>
      <c r="I1003" s="7">
        <f>I25+I32+I53+I62+I86+I103+I111+I121+I131+I138+I147+I159+I171+I178+I214+I232+I255+I271+I311+I334+I356+I366+I378+I390+I438+I462+I471+I499+I508+I521+I528+I535+I571+I592+I603+I615+I622+I630+I640+I669+I681+I693+I701+I716+I728+I740+I747+I757+I769+I779+I791+I806+I814+I822+I834+I846+I853+I860+I898+I910+I922+I934+I948+I583+I93+I262+I397+I408+I553+I226+I43+I987+I975+I963+I867+I448+I424+I296+I483+I286+I249+I245+I40</f>
        <v>393203.3000000001</v>
      </c>
      <c r="J1003" s="7">
        <f>J25+J32+J53+J62+J86+J103+J111+J121+J131+J138+J147+J159+J171+J178+J214+J232+J255+J271+J311+J334+J356+J366+J378+J390+J438+J462+J471+J499+J508+J521+J528+J535+J571+J592+J603+J615+J622+J630+J640+J669+J681+J693+J701+J716+J728+J740+J747+J757+J769+J779+J791+J806+J814+J822+J834+J846+J853+J860+J898+J910+J922+J934+J948</f>
        <v>2002.1</v>
      </c>
      <c r="K1003" s="448"/>
    </row>
    <row r="1004" spans="1:18" ht="15" x14ac:dyDescent="0.25">
      <c r="A1004" s="460"/>
      <c r="B1004" s="461"/>
      <c r="C1004" s="461"/>
      <c r="D1004" s="462"/>
      <c r="E1004" s="222">
        <v>2019</v>
      </c>
      <c r="F1004" s="156">
        <f>SUM(H1004:J1004)</f>
        <v>1918176.9000000001</v>
      </c>
      <c r="G1004" s="7"/>
      <c r="H1004" s="7">
        <f>H26+H33+H54+H63+H87+H104+H112+H122+H132+H139+H148+H160+H172+H179+H215+H233+H256+H272+H312+H335+H357+H367+H379+H391+H439+H463+H472+H500+H509+H522+H529+H536+H572+H593+H604+H616+H623+H631+H641+H670+H682+H694+H702+H717+H729+H741+H748+H758+H770+H780+H792+H807+H815+H823+H835+H847+H854+H861+H899+H911+H923+H935+H949+H199+H653+H415+H345+H322+H287+H716+H561+H73+H880</f>
        <v>1423046.4000000001</v>
      </c>
      <c r="I1004" s="7">
        <f>I26+I33+I54+I63+I87+I104+I112+I122+I132+I139+I148+I160+I172+I179+I215+I233+I256+I272+I312+I335+I357+I367+I379+I391+I439+I463+I472+I500+I509+I522+I529+I536+I572+I593+I604+I616+I623+I631+I641+I670+I682+I694+I702+I717+I729+I741+I748+I758+I770+I780+I792+I807+I815+I823+I835+I847+I854+I861+I899+I911+I923+I935+I949+I584+I94+I263+I398+I409+I554+I988+I976+I964+I868+I449+I484+I287+I561+I425+I297+I44+I880</f>
        <v>493073.3</v>
      </c>
      <c r="J1004" s="7">
        <f>J26+J33+J54+J63+J87+J104+J112+J122+J132+J139+J148+J160+J172+J179+J215+J233+J256+J272+J312+J335+J357+J367+J379+J391+J439+J463+J472+J500+J509+J522+J529+J536+J572+J593+J604+J616+J623+J631+J641+J670+J682+J694+J702+J717+J729+J741+J748+J758+J770+J780+J792+J807+J815+J823+J835+J847+J854+J861+J899+J911+J923+J935+J949</f>
        <v>2057.1999999999998</v>
      </c>
      <c r="K1004" s="448"/>
      <c r="L1004" s="4">
        <v>1856156.6</v>
      </c>
      <c r="M1004" s="107">
        <f>F1004-J1004</f>
        <v>1916119.7000000002</v>
      </c>
      <c r="N1004" s="107">
        <f>L1004-M1004</f>
        <v>-59963.100000000093</v>
      </c>
      <c r="P1004" s="4">
        <v>885369.7</v>
      </c>
      <c r="Q1004" s="4" t="s">
        <v>420</v>
      </c>
    </row>
    <row r="1005" spans="1:18" ht="15" x14ac:dyDescent="0.25">
      <c r="A1005" s="460"/>
      <c r="B1005" s="461"/>
      <c r="C1005" s="461"/>
      <c r="D1005" s="462"/>
      <c r="E1005" s="222">
        <v>2020</v>
      </c>
      <c r="F1005" s="156">
        <f t="shared" si="173"/>
        <v>1908769.7000000007</v>
      </c>
      <c r="G1005" s="7"/>
      <c r="H1005" s="7">
        <f>H27+H34+H55+H64+H88+H105+H113+H123+H133+H140+H149+H161+H173+H180+H216+H234+H257+H273+H313+H336+H358+H368+H380+H392+H440+H464+H473+H501+H510+H523+H530+H537+H573+H594+H605+H617+H624+H632+H642+H671+H683+H695+H703+H718+H730+H742+H749+H759+H771+H781+H793+H808+H816+H824+H836+H848+H855+H862+H900+H912+H924+H936+H950+H654+H416+H346+H323+H288+H200+H74+H881+H562</f>
        <v>1454527.8000000005</v>
      </c>
      <c r="I1005" s="7">
        <f>I27+I34+I55+I64+I88+I105+I113+I123+I133+I140+I149+I161+I173+I180+I216+I234+I257+I273+I313+I336+I358+I368+I380+I392+I440+I464+I473+I501+I510+I523+I530+I537+I573+I594+I605+I617+I624+I632+I642+I671+I683+I695+I703+I718+I730+I742+I749+I759+I771+I781+I793+I808+I816+I824+I836+I848+I855+I862+I900+I912+I924+I936+I950+I585+I989+I977+I965+I450+I399+I485+I288+I869+I555+I410+I264+I881+I562+I426+I95+I298</f>
        <v>453854.30000000005</v>
      </c>
      <c r="J1005" s="7">
        <f>J27+J34+J55+J64+J88+J105+J113+J123+J133+J140+J149+J161+J173+J180+J216+J234+J257+J273+J313+J336+J358+J368+J380+J392+J440+J464+J473+J501+J510+J523+J530+J537+J573+J594+J605+J617+J624+J632+J642+J671+J683+J695+J703+J718+J730+J742+J749+J759+J771+J781+J793+J808+J816+J824+J836+J848+J855+J862+J900+J912+J924+J936+J950</f>
        <v>387.59999999999997</v>
      </c>
      <c r="K1005" s="448"/>
      <c r="P1005" s="4">
        <v>1031330.3</v>
      </c>
      <c r="Q1005" s="4" t="s">
        <v>421</v>
      </c>
    </row>
    <row r="1006" spans="1:18" ht="15" x14ac:dyDescent="0.25">
      <c r="A1006" s="460"/>
      <c r="B1006" s="461"/>
      <c r="C1006" s="461"/>
      <c r="D1006" s="462"/>
      <c r="E1006" s="222">
        <v>2021</v>
      </c>
      <c r="F1006" s="156">
        <f t="shared" ref="F1006:F1007" si="174">SUM(H1006:J1006)</f>
        <v>1642670.0000000002</v>
      </c>
      <c r="G1006" s="7"/>
      <c r="H1006" s="7">
        <f>H35+H65+H106+H134+H150+H162+H174+H181+H217+H235+H258+H274+H314+H337+H359+H369+H381+H441+H465+H474+H502+H511+H524+H531+H538+H574+H595+H606+H618+H625+H633+H643+H672+H684+H696+H704+H719+H731+H743+H750+H760+H772+H782+H794+H809+H817+H825+H837+H849+H856+H863+H901+H913+H925+H937+H951+H201+H655+H417+H347+H324+H289+H75+H882+H563</f>
        <v>1348804.2000000002</v>
      </c>
      <c r="I1006" s="7">
        <f>I35+I65+I150+I162+I217+I235+I258+I274+I314+I337+I369+I381+I441+I474+I502+I511+I524+I538+I574+I595+I606+I625+I633+I643+I672+I684+I696+I704+I719+I731+I760+I782+I794+I809+I817+I825+I837+I901+I913+I925+I937+I951+I586+I96+I265+I400+I411+I556+I990+I978+I966+I870+I451+I486+I289+I882</f>
        <v>293478.2</v>
      </c>
      <c r="J1006" s="7">
        <f>J28+J35+J56+J65+J89+J106+J114+J124+J134+J141+J150+J162+J174+J181+J217+J235+J258+J274+J314+J337+J359+J369+J381+J393+J441+J465+J474+J502+J511+J524+J531+J538+J574+J595+J606+J618+J625+J633+J643+J672+J684+J696+J704+J719+J731+J743+J750+J760+J772+J782+J794+J809+J817+J825+J837+J849+J856+J863+J901+J913+J925+J937+J951</f>
        <v>387.59999999999997</v>
      </c>
      <c r="K1006" s="449"/>
      <c r="P1006" s="127">
        <v>1938200</v>
      </c>
      <c r="Q1006" s="127" t="s">
        <v>422</v>
      </c>
      <c r="R1006" s="127"/>
    </row>
    <row r="1007" spans="1:18" ht="15" x14ac:dyDescent="0.25">
      <c r="A1007" s="460"/>
      <c r="B1007" s="461"/>
      <c r="C1007" s="461"/>
      <c r="D1007" s="462"/>
      <c r="E1007" s="222">
        <v>2022</v>
      </c>
      <c r="F1007" s="156">
        <f t="shared" si="174"/>
        <v>1615237.8000000003</v>
      </c>
      <c r="G1007" s="7"/>
      <c r="H1007" s="7">
        <f>H66+H151+H163+H218+H275+H315+H338+H370+H382+H442+H475+H512+H539+H575+H607+H644+H673+H685+H705+H720+H732+H761+H783+H795+H826+H838+H902+H914+H926+H938+H952+H656+H418+H348+H325+H290+H202+H76+H883+H236+H36</f>
        <v>1387237.5000000002</v>
      </c>
      <c r="I1007" s="7">
        <f>I66+I151+I163+I218+I275+I315+I338+I370+I382+I442+I475+I512+I539+I575+I607+I644+I673+I685+I705+I720+I732+I761+I783+I795+I826+I838+I902+I914+I926+I938+I952+I991+I979+I967+I452+I401+I487+I290+I871+I36+I883+I236</f>
        <v>227612.69999999998</v>
      </c>
      <c r="J1007" s="7">
        <f>J29+J37+J57+J66+J90+J107+J115+J125+J135+J142+J151+J163+J175+J182+J218+J237+J259+J275+J315+J338+J360+J370+J382+J394+J442+J466+J475+J503+J512+J525+J532+J539+J575+J596+J607+J619+J626+J634+J644+J673+J685+J697+J705+J720+J732+J744+J751+J761+J773+J783+J795+J810+J818+J826+J838+J850+J857+J864+J902+J914+J926+J938+J952</f>
        <v>387.59999999999997</v>
      </c>
      <c r="K1007" s="449"/>
      <c r="P1007" s="4">
        <v>5422600</v>
      </c>
      <c r="Q1007" s="4" t="s">
        <v>423</v>
      </c>
    </row>
    <row r="1008" spans="1:18" ht="15" x14ac:dyDescent="0.25">
      <c r="A1008" s="460"/>
      <c r="B1008" s="461"/>
      <c r="C1008" s="461"/>
      <c r="D1008" s="462"/>
      <c r="E1008" s="222">
        <v>2023</v>
      </c>
      <c r="F1008" s="156">
        <f t="shared" ref="F1008:F1009" si="175">SUM(H1008:J1008)</f>
        <v>1924934.7000000002</v>
      </c>
      <c r="G1008" s="7"/>
      <c r="H1008" s="7">
        <f>H67+H152+H164+H276+H316+H339+H371+H383+H443+H476+H513+H540+H576+H608+H645+H674+H686+H706+H721+H733+H762+H784+H796+H827+H839+H903+H915+H927+H939+H953+H203+H657+H419+H349+H326+H291+H77</f>
        <v>1657869</v>
      </c>
      <c r="I1008" s="7">
        <f>I67+I152+I164+I276+I316+I339+I371+I383+I443+I476+I513+I540+I576+I608+I645+I674+I686+I706+I721+I733+I762+I784+I796+I827+I839+I903+I915+I927+I939+I953+I402+I992+I980+I968+I872+I453+I488+I291</f>
        <v>266678.09999999998</v>
      </c>
      <c r="J1008" s="7">
        <f>J30+J38+J58+J67+J91+J108+J116+J126+J136+J143+J152+J164+J176+J183+J219+J238+J260+J276+J316+J339+J361+J371+J383+J395+J443+J467+J476+J504+J513+J526+J533+J540+J576+J597+J608+J620+J627+J635+J645+J674+J686+J698+J706+J721+J733+J745+J752+J762+J774+J784+J796+J811+J819+J827+J839+J851+J858+J865+J903+J915+J927+J939+J953</f>
        <v>387.59999999999997</v>
      </c>
      <c r="K1008" s="449"/>
      <c r="M1008" s="4" t="s">
        <v>419</v>
      </c>
    </row>
    <row r="1009" spans="1:11" ht="15" x14ac:dyDescent="0.25">
      <c r="A1009" s="460"/>
      <c r="B1009" s="461"/>
      <c r="C1009" s="461"/>
      <c r="D1009" s="462"/>
      <c r="E1009" s="222">
        <v>2024</v>
      </c>
      <c r="F1009" s="156">
        <f t="shared" si="175"/>
        <v>2011828.3000000003</v>
      </c>
      <c r="G1009" s="7"/>
      <c r="H1009" s="7">
        <f>H68+H137+H153+H165+H277+H317+H340+H372+H384+H444+H477+H505+H514+H541+H577+H609+H646+H675+H687+H707+H722+H734+H763+H785+H797+H828+H840+H904+H916+H928+H940+H954+H658+H420+H350+H327+H292+H204+H78</f>
        <v>1734116.1</v>
      </c>
      <c r="I1009" s="7">
        <f>I68+I153+I165+I277+I317+I340+I372+I384+I444+I477+I514+I541+I577+I609+I646+I675+I687+I707+I722+I734+I763+I785+I797+I828+I840+I904+I916+I928+I940+I954+I993+I981+I969+I454+I403+I489+I292+I873</f>
        <v>277324.59999999998</v>
      </c>
      <c r="J1009" s="7">
        <f>J31+J39+J59+J68+J92+J109+J117+J127+J137+J144+J153+J165+J177+J184+J220+J239+J261+J277+J317+J340+J362+J372+J384+J396+J444+J468+J477+J505+J514+J527+J534+J541+J577+J598+J609+J621+J628+J636+J646+J675+J687+J699+J707+J722+J734+J746+J753+J763+J775+J785+J797+J812+J820+J828+J840+J852+J859+J866+J904+J916+J928+J940+J954</f>
        <v>387.59999999999997</v>
      </c>
      <c r="K1009" s="449"/>
    </row>
    <row r="1010" spans="1:11" ht="15" x14ac:dyDescent="0.25">
      <c r="A1010" s="460"/>
      <c r="B1010" s="461"/>
      <c r="C1010" s="461"/>
      <c r="D1010" s="462"/>
      <c r="E1010" s="222">
        <v>2025</v>
      </c>
      <c r="F1010" s="156">
        <f t="shared" ref="F1010" si="176">SUM(H1010:J1010)</f>
        <v>2102668.4</v>
      </c>
      <c r="G1010" s="7"/>
      <c r="H1010" s="7">
        <f>H69+H154+H166+H278+H318+H341+H373+H385+H445+H478+H515+H542+H578+H599+H610+H647+H676+H688+H708+H723+H735+H764+H786+H798+H829+H841+H905+H917+H929+H941+H955+H659+H421+H351+H328+H293+H205+H79</f>
        <v>1813885.6999999997</v>
      </c>
      <c r="I1010" s="7">
        <f>I69+I154+I166+I278+I318+I341+I373+I385+I445+I478+I515+I542+I578+I610+I647+I676+I688+I708+I723+I735+I764+I786+I798+I829+I841+I905+I917+I929+I941+I955+I994+I982+I970+I455+I404+I490+I293+I874</f>
        <v>288395.09999999998</v>
      </c>
      <c r="J1010" s="7">
        <f>J32+J40+J60+J69+J93+J110+J118+J128+J138+J145+J154+J166+J178+J185+J221+J240+J262+J278+J318+J341+J363+J373+J385+J397+J445+J469+J478+J506+J515+J528+J535+J542+J578+J599+J610+J622+J629+J637+J647+J676+J688+J700+J708+J723+J735+J747+J754+J764+J776+J786+J798+J813+J821+J829+J841+J853+J860+J867+J905+J917+J929+J941+J955</f>
        <v>387.59999999999997</v>
      </c>
      <c r="K1010" s="449"/>
    </row>
    <row r="1011" spans="1:11" ht="15.75" customHeight="1" thickBot="1" x14ac:dyDescent="0.25">
      <c r="A1011" s="463"/>
      <c r="B1011" s="464"/>
      <c r="C1011" s="464"/>
      <c r="D1011" s="465"/>
      <c r="E1011" s="167" t="s">
        <v>400</v>
      </c>
      <c r="F1011" s="203">
        <f>SUM(F1000:F1010)</f>
        <v>18474724.100000001</v>
      </c>
      <c r="G1011" s="168"/>
      <c r="H1011" s="168">
        <f>SUM(H1000:H1010)</f>
        <v>15023935</v>
      </c>
      <c r="I1011" s="168">
        <f>SUM(I1000:I1010)</f>
        <v>3441742.1000000006</v>
      </c>
      <c r="J1011" s="168">
        <f>SUM(J1000:J1010)</f>
        <v>9047</v>
      </c>
      <c r="K1011" s="450"/>
    </row>
    <row r="1013" spans="1:11" x14ac:dyDescent="0.2">
      <c r="I1013" s="85"/>
    </row>
    <row r="1016" spans="1:11" x14ac:dyDescent="0.2">
      <c r="H1016" s="107"/>
      <c r="I1016" s="107"/>
    </row>
  </sheetData>
  <mergeCells count="632">
    <mergeCell ref="A890:D890"/>
    <mergeCell ref="A879:K879"/>
    <mergeCell ref="A880:A889"/>
    <mergeCell ref="B880:B889"/>
    <mergeCell ref="C880:C889"/>
    <mergeCell ref="D880:D889"/>
    <mergeCell ref="K880:K889"/>
    <mergeCell ref="E887:E889"/>
    <mergeCell ref="F887:F889"/>
    <mergeCell ref="G887:G889"/>
    <mergeCell ref="H887:H889"/>
    <mergeCell ref="I887:I889"/>
    <mergeCell ref="J887:J889"/>
    <mergeCell ref="A249:A250"/>
    <mergeCell ref="B249:B250"/>
    <mergeCell ref="C249:C250"/>
    <mergeCell ref="D249:D250"/>
    <mergeCell ref="K249:K250"/>
    <mergeCell ref="D737:D743"/>
    <mergeCell ref="B725:B736"/>
    <mergeCell ref="C725:C736"/>
    <mergeCell ref="D725:D736"/>
    <mergeCell ref="K725:K736"/>
    <mergeCell ref="A713:A724"/>
    <mergeCell ref="C568:C579"/>
    <mergeCell ref="D568:D579"/>
    <mergeCell ref="A566:K566"/>
    <mergeCell ref="A567:K567"/>
    <mergeCell ref="C551:C557"/>
    <mergeCell ref="D551:D557"/>
    <mergeCell ref="B551:B557"/>
    <mergeCell ref="A434:E434"/>
    <mergeCell ref="A435:A446"/>
    <mergeCell ref="B435:B446"/>
    <mergeCell ref="C435:C446"/>
    <mergeCell ref="D435:D446"/>
    <mergeCell ref="A480:D480"/>
    <mergeCell ref="K247:K248"/>
    <mergeCell ref="A865:K865"/>
    <mergeCell ref="B866:B877"/>
    <mergeCell ref="A866:A877"/>
    <mergeCell ref="E875:E877"/>
    <mergeCell ref="F875:F877"/>
    <mergeCell ref="G875:G877"/>
    <mergeCell ref="H875:H877"/>
    <mergeCell ref="I875:I877"/>
    <mergeCell ref="J875:J877"/>
    <mergeCell ref="A413:A422"/>
    <mergeCell ref="B413:B422"/>
    <mergeCell ref="C413:C422"/>
    <mergeCell ref="D413:D422"/>
    <mergeCell ref="K413:K422"/>
    <mergeCell ref="A447:A456"/>
    <mergeCell ref="A247:A248"/>
    <mergeCell ref="B247:B248"/>
    <mergeCell ref="C247:C248"/>
    <mergeCell ref="D247:D248"/>
    <mergeCell ref="A423:A432"/>
    <mergeCell ref="B423:B432"/>
    <mergeCell ref="C423:C432"/>
    <mergeCell ref="D423:D432"/>
    <mergeCell ref="A406:A412"/>
    <mergeCell ref="B406:B412"/>
    <mergeCell ref="C406:C412"/>
    <mergeCell ref="D406:D412"/>
    <mergeCell ref="K406:K412"/>
    <mergeCell ref="A375:A386"/>
    <mergeCell ref="B375:B386"/>
    <mergeCell ref="C375:C386"/>
    <mergeCell ref="A363:A374"/>
    <mergeCell ref="A394:A405"/>
    <mergeCell ref="B394:B405"/>
    <mergeCell ref="K320:K329"/>
    <mergeCell ref="A343:A352"/>
    <mergeCell ref="B343:B352"/>
    <mergeCell ref="C343:C352"/>
    <mergeCell ref="D343:D352"/>
    <mergeCell ref="K343:K352"/>
    <mergeCell ref="B363:B374"/>
    <mergeCell ref="C363:C374"/>
    <mergeCell ref="D363:D374"/>
    <mergeCell ref="A59:A70"/>
    <mergeCell ref="B59:B70"/>
    <mergeCell ref="C59:C70"/>
    <mergeCell ref="D59:D70"/>
    <mergeCell ref="K59:K70"/>
    <mergeCell ref="D242:D243"/>
    <mergeCell ref="K242:K243"/>
    <mergeCell ref="F189:J194"/>
    <mergeCell ref="K220:K222"/>
    <mergeCell ref="A208:D208"/>
    <mergeCell ref="A209:K209"/>
    <mergeCell ref="A210:K210"/>
    <mergeCell ref="K211:K219"/>
    <mergeCell ref="C211:C219"/>
    <mergeCell ref="D211:D219"/>
    <mergeCell ref="A220:A222"/>
    <mergeCell ref="B220:B222"/>
    <mergeCell ref="C220:C222"/>
    <mergeCell ref="D220:D222"/>
    <mergeCell ref="B196:B206"/>
    <mergeCell ref="A196:A206"/>
    <mergeCell ref="C196:C206"/>
    <mergeCell ref="D196:D206"/>
    <mergeCell ref="A211:A219"/>
    <mergeCell ref="K50:K58"/>
    <mergeCell ref="A57:A58"/>
    <mergeCell ref="A48:D48"/>
    <mergeCell ref="C29:C37"/>
    <mergeCell ref="A38:A41"/>
    <mergeCell ref="B38:B41"/>
    <mergeCell ref="A46:A47"/>
    <mergeCell ref="B46:B47"/>
    <mergeCell ref="C46:C47"/>
    <mergeCell ref="D46:D47"/>
    <mergeCell ref="A50:A56"/>
    <mergeCell ref="C38:C41"/>
    <mergeCell ref="A42:A45"/>
    <mergeCell ref="B42:B45"/>
    <mergeCell ref="C42:C45"/>
    <mergeCell ref="D42:D45"/>
    <mergeCell ref="B50:B56"/>
    <mergeCell ref="C50:C56"/>
    <mergeCell ref="D50:D56"/>
    <mergeCell ref="B57:B58"/>
    <mergeCell ref="C57:C58"/>
    <mergeCell ref="D57:D58"/>
    <mergeCell ref="M92:O92"/>
    <mergeCell ref="M261:O261"/>
    <mergeCell ref="D38:D41"/>
    <mergeCell ref="A494:K494"/>
    <mergeCell ref="A495:K495"/>
    <mergeCell ref="A468:A479"/>
    <mergeCell ref="K363:K374"/>
    <mergeCell ref="K375:K386"/>
    <mergeCell ref="A387:A393"/>
    <mergeCell ref="B387:B393"/>
    <mergeCell ref="C387:C393"/>
    <mergeCell ref="D375:D386"/>
    <mergeCell ref="A433:D433"/>
    <mergeCell ref="K394:K405"/>
    <mergeCell ref="D387:D393"/>
    <mergeCell ref="K387:K393"/>
    <mergeCell ref="C260:C266"/>
    <mergeCell ref="D260:D266"/>
    <mergeCell ref="A260:A266"/>
    <mergeCell ref="K353:K359"/>
    <mergeCell ref="C353:C359"/>
    <mergeCell ref="D353:D359"/>
    <mergeCell ref="A361:K361"/>
    <mergeCell ref="A49:K49"/>
    <mergeCell ref="A711:K711"/>
    <mergeCell ref="A712:K712"/>
    <mergeCell ref="K627:K634"/>
    <mergeCell ref="A635:D635"/>
    <mergeCell ref="A636:K636"/>
    <mergeCell ref="A627:A634"/>
    <mergeCell ref="B627:B634"/>
    <mergeCell ref="C627:C634"/>
    <mergeCell ref="D627:D634"/>
    <mergeCell ref="C690:C697"/>
    <mergeCell ref="D690:D697"/>
    <mergeCell ref="K637:K648"/>
    <mergeCell ref="A637:A648"/>
    <mergeCell ref="B637:B648"/>
    <mergeCell ref="C637:C648"/>
    <mergeCell ref="D637:D648"/>
    <mergeCell ref="A678:A689"/>
    <mergeCell ref="B678:B689"/>
    <mergeCell ref="C678:C689"/>
    <mergeCell ref="D678:D689"/>
    <mergeCell ref="A665:K665"/>
    <mergeCell ref="A666:A677"/>
    <mergeCell ref="B666:B677"/>
    <mergeCell ref="A650:K650"/>
    <mergeCell ref="K737:K743"/>
    <mergeCell ref="K744:K750"/>
    <mergeCell ref="K713:K724"/>
    <mergeCell ref="C666:C677"/>
    <mergeCell ref="D666:D677"/>
    <mergeCell ref="K666:K709"/>
    <mergeCell ref="A690:A697"/>
    <mergeCell ref="B690:B697"/>
    <mergeCell ref="D698:D709"/>
    <mergeCell ref="A725:A736"/>
    <mergeCell ref="A737:A743"/>
    <mergeCell ref="B737:B743"/>
    <mergeCell ref="C737:C743"/>
    <mergeCell ref="D713:D724"/>
    <mergeCell ref="A744:A750"/>
    <mergeCell ref="B744:B750"/>
    <mergeCell ref="C744:C750"/>
    <mergeCell ref="D744:D750"/>
    <mergeCell ref="B698:B709"/>
    <mergeCell ref="C698:C709"/>
    <mergeCell ref="B713:B724"/>
    <mergeCell ref="C713:C724"/>
    <mergeCell ref="A698:A709"/>
    <mergeCell ref="A710:D710"/>
    <mergeCell ref="K857:K863"/>
    <mergeCell ref="A857:A863"/>
    <mergeCell ref="C803:C810"/>
    <mergeCell ref="D803:D810"/>
    <mergeCell ref="K803:K818"/>
    <mergeCell ref="A801:K801"/>
    <mergeCell ref="A802:K802"/>
    <mergeCell ref="B843:B849"/>
    <mergeCell ref="C843:C849"/>
    <mergeCell ref="D843:D849"/>
    <mergeCell ref="C831:C842"/>
    <mergeCell ref="D831:D842"/>
    <mergeCell ref="B811:B818"/>
    <mergeCell ref="D819:D830"/>
    <mergeCell ref="A831:A842"/>
    <mergeCell ref="B831:B842"/>
    <mergeCell ref="A850:A856"/>
    <mergeCell ref="B850:B856"/>
    <mergeCell ref="C850:C856"/>
    <mergeCell ref="D850:D856"/>
    <mergeCell ref="A843:A849"/>
    <mergeCell ref="A803:A810"/>
    <mergeCell ref="B803:B810"/>
    <mergeCell ref="A751:D751"/>
    <mergeCell ref="A800:D800"/>
    <mergeCell ref="A776:A787"/>
    <mergeCell ref="B776:B787"/>
    <mergeCell ref="C776:C787"/>
    <mergeCell ref="A788:A799"/>
    <mergeCell ref="B788:B799"/>
    <mergeCell ref="C788:C799"/>
    <mergeCell ref="D788:D799"/>
    <mergeCell ref="D776:D787"/>
    <mergeCell ref="A752:K752"/>
    <mergeCell ref="A753:K753"/>
    <mergeCell ref="D754:D765"/>
    <mergeCell ref="K754:K765"/>
    <mergeCell ref="A774:K774"/>
    <mergeCell ref="K766:K772"/>
    <mergeCell ref="A754:A765"/>
    <mergeCell ref="B754:B765"/>
    <mergeCell ref="C754:C765"/>
    <mergeCell ref="A775:K775"/>
    <mergeCell ref="A972:D972"/>
    <mergeCell ref="A984:D984"/>
    <mergeCell ref="A985:K985"/>
    <mergeCell ref="A986:A995"/>
    <mergeCell ref="B986:B995"/>
    <mergeCell ref="C986:C995"/>
    <mergeCell ref="B857:B863"/>
    <mergeCell ref="C857:C863"/>
    <mergeCell ref="A931:A942"/>
    <mergeCell ref="B931:B942"/>
    <mergeCell ref="C931:C942"/>
    <mergeCell ref="A919:A930"/>
    <mergeCell ref="A893:K893"/>
    <mergeCell ref="A894:K894"/>
    <mergeCell ref="A907:A918"/>
    <mergeCell ref="B907:B918"/>
    <mergeCell ref="C907:C918"/>
    <mergeCell ref="A895:A906"/>
    <mergeCell ref="B895:B906"/>
    <mergeCell ref="C895:C906"/>
    <mergeCell ref="D857:D863"/>
    <mergeCell ref="A864:D864"/>
    <mergeCell ref="D895:D906"/>
    <mergeCell ref="A878:D878"/>
    <mergeCell ref="K1000:K1011"/>
    <mergeCell ref="A957:D957"/>
    <mergeCell ref="A958:D958"/>
    <mergeCell ref="A959:D959"/>
    <mergeCell ref="A999:D1011"/>
    <mergeCell ref="D945:D956"/>
    <mergeCell ref="A943:D943"/>
    <mergeCell ref="A944:K944"/>
    <mergeCell ref="A945:A956"/>
    <mergeCell ref="B945:B956"/>
    <mergeCell ref="C945:C956"/>
    <mergeCell ref="K945:K956"/>
    <mergeCell ref="A973:K973"/>
    <mergeCell ref="A974:A983"/>
    <mergeCell ref="B974:B983"/>
    <mergeCell ref="C974:C983"/>
    <mergeCell ref="D974:D983"/>
    <mergeCell ref="K974:K983"/>
    <mergeCell ref="D986:D995"/>
    <mergeCell ref="K986:K995"/>
    <mergeCell ref="A996:D996"/>
    <mergeCell ref="A997:D997"/>
    <mergeCell ref="A998:D998"/>
    <mergeCell ref="A960:K960"/>
    <mergeCell ref="A651:A660"/>
    <mergeCell ref="B651:B660"/>
    <mergeCell ref="C651:C660"/>
    <mergeCell ref="A649:D649"/>
    <mergeCell ref="A664:K664"/>
    <mergeCell ref="A599:K599"/>
    <mergeCell ref="A600:A611"/>
    <mergeCell ref="B600:B611"/>
    <mergeCell ref="C600:C611"/>
    <mergeCell ref="D600:D611"/>
    <mergeCell ref="K600:K626"/>
    <mergeCell ref="A619:A626"/>
    <mergeCell ref="B619:B626"/>
    <mergeCell ref="C619:C626"/>
    <mergeCell ref="D619:D626"/>
    <mergeCell ref="A612:A618"/>
    <mergeCell ref="B612:B618"/>
    <mergeCell ref="C612:C618"/>
    <mergeCell ref="D612:D618"/>
    <mergeCell ref="D651:D660"/>
    <mergeCell ref="K651:K660"/>
    <mergeCell ref="A661:D661"/>
    <mergeCell ref="A598:K598"/>
    <mergeCell ref="K589:K596"/>
    <mergeCell ref="C580:C587"/>
    <mergeCell ref="A589:A596"/>
    <mergeCell ref="B589:B596"/>
    <mergeCell ref="C589:C596"/>
    <mergeCell ref="D589:D596"/>
    <mergeCell ref="A588:K588"/>
    <mergeCell ref="K568:K587"/>
    <mergeCell ref="D580:D587"/>
    <mergeCell ref="B568:B579"/>
    <mergeCell ref="A568:A579"/>
    <mergeCell ref="A580:A587"/>
    <mergeCell ref="B580:B587"/>
    <mergeCell ref="D544:D550"/>
    <mergeCell ref="K551:K557"/>
    <mergeCell ref="K544:K550"/>
    <mergeCell ref="A558:A559"/>
    <mergeCell ref="B558:B559"/>
    <mergeCell ref="C558:C559"/>
    <mergeCell ref="D558:D559"/>
    <mergeCell ref="K558:K559"/>
    <mergeCell ref="A597:D597"/>
    <mergeCell ref="B544:B550"/>
    <mergeCell ref="C544:C550"/>
    <mergeCell ref="A560:K560"/>
    <mergeCell ref="A561:A564"/>
    <mergeCell ref="B561:B564"/>
    <mergeCell ref="C561:C564"/>
    <mergeCell ref="D561:D564"/>
    <mergeCell ref="K561:K564"/>
    <mergeCell ref="B211:B219"/>
    <mergeCell ref="K196:K206"/>
    <mergeCell ref="A207:D207"/>
    <mergeCell ref="D182:D188"/>
    <mergeCell ref="F182:J188"/>
    <mergeCell ref="A144:A155"/>
    <mergeCell ref="B144:B155"/>
    <mergeCell ref="C144:C155"/>
    <mergeCell ref="D144:D155"/>
    <mergeCell ref="K168:K174"/>
    <mergeCell ref="A175:A181"/>
    <mergeCell ref="B175:B181"/>
    <mergeCell ref="C175:C181"/>
    <mergeCell ref="D175:D181"/>
    <mergeCell ref="K175:K181"/>
    <mergeCell ref="A168:A174"/>
    <mergeCell ref="B168:B174"/>
    <mergeCell ref="C168:C174"/>
    <mergeCell ref="D168:D174"/>
    <mergeCell ref="K182:K195"/>
    <mergeCell ref="A182:A188"/>
    <mergeCell ref="B182:B188"/>
    <mergeCell ref="C182:C188"/>
    <mergeCell ref="B189:B195"/>
    <mergeCell ref="C189:C195"/>
    <mergeCell ref="D189:D195"/>
    <mergeCell ref="A189:A195"/>
    <mergeCell ref="K144:K167"/>
    <mergeCell ref="A156:A167"/>
    <mergeCell ref="B156:B167"/>
    <mergeCell ref="C156:C167"/>
    <mergeCell ref="D156:D167"/>
    <mergeCell ref="A128:A134"/>
    <mergeCell ref="B128:B134"/>
    <mergeCell ref="C128:C134"/>
    <mergeCell ref="D128:D134"/>
    <mergeCell ref="A142:K142"/>
    <mergeCell ref="A143:K143"/>
    <mergeCell ref="A125:E125"/>
    <mergeCell ref="F125:J125"/>
    <mergeCell ref="A126:K126"/>
    <mergeCell ref="A127:K127"/>
    <mergeCell ref="K128:K134"/>
    <mergeCell ref="A135:A141"/>
    <mergeCell ref="B135:B141"/>
    <mergeCell ref="C135:C141"/>
    <mergeCell ref="D135:D141"/>
    <mergeCell ref="K135:K141"/>
    <mergeCell ref="A117:K117"/>
    <mergeCell ref="A118:A124"/>
    <mergeCell ref="B118:B124"/>
    <mergeCell ref="C118:C124"/>
    <mergeCell ref="D118:D124"/>
    <mergeCell ref="K118:K124"/>
    <mergeCell ref="A100:A106"/>
    <mergeCell ref="B100:B106"/>
    <mergeCell ref="C100:C106"/>
    <mergeCell ref="D100:D106"/>
    <mergeCell ref="K100:K106"/>
    <mergeCell ref="A107:K107"/>
    <mergeCell ref="A108:A114"/>
    <mergeCell ref="B108:B114"/>
    <mergeCell ref="C108:C114"/>
    <mergeCell ref="D108:D114"/>
    <mergeCell ref="K108:K114"/>
    <mergeCell ref="A98:D98"/>
    <mergeCell ref="A99:K99"/>
    <mergeCell ref="C90:C97"/>
    <mergeCell ref="D90:D97"/>
    <mergeCell ref="A90:A97"/>
    <mergeCell ref="B90:B97"/>
    <mergeCell ref="K90:K97"/>
    <mergeCell ref="A115:D115"/>
    <mergeCell ref="A116:K116"/>
    <mergeCell ref="A81:D81"/>
    <mergeCell ref="A82:K82"/>
    <mergeCell ref="A83:A89"/>
    <mergeCell ref="B83:B89"/>
    <mergeCell ref="C83:C89"/>
    <mergeCell ref="D83:D89"/>
    <mergeCell ref="K83:K89"/>
    <mergeCell ref="A71:A80"/>
    <mergeCell ref="B71:B80"/>
    <mergeCell ref="C71:C80"/>
    <mergeCell ref="D71:D80"/>
    <mergeCell ref="K71:K80"/>
    <mergeCell ref="A16:A17"/>
    <mergeCell ref="B16:B17"/>
    <mergeCell ref="W20:Z20"/>
    <mergeCell ref="A21:K21"/>
    <mergeCell ref="A22:A28"/>
    <mergeCell ref="B22:B28"/>
    <mergeCell ref="C22:C28"/>
    <mergeCell ref="L20:N20"/>
    <mergeCell ref="O20:R20"/>
    <mergeCell ref="S20:V20"/>
    <mergeCell ref="A20:D20"/>
    <mergeCell ref="D22:D28"/>
    <mergeCell ref="A18:A19"/>
    <mergeCell ref="B18:B19"/>
    <mergeCell ref="C18:C19"/>
    <mergeCell ref="D18:D19"/>
    <mergeCell ref="K18:K19"/>
    <mergeCell ref="C16:C17"/>
    <mergeCell ref="D16:D17"/>
    <mergeCell ref="K16:K17"/>
    <mergeCell ref="K22:K47"/>
    <mergeCell ref="D29:D37"/>
    <mergeCell ref="A29:A37"/>
    <mergeCell ref="B29:B37"/>
    <mergeCell ref="H1:K1"/>
    <mergeCell ref="H2:K2"/>
    <mergeCell ref="E10:E11"/>
    <mergeCell ref="F10:J10"/>
    <mergeCell ref="A14:K14"/>
    <mergeCell ref="A15:K15"/>
    <mergeCell ref="A13:K13"/>
    <mergeCell ref="A10:A11"/>
    <mergeCell ref="B10:B11"/>
    <mergeCell ref="A5:K5"/>
    <mergeCell ref="A6:K6"/>
    <mergeCell ref="A7:K7"/>
    <mergeCell ref="K10:K11"/>
    <mergeCell ref="C10:C11"/>
    <mergeCell ref="D10:D11"/>
    <mergeCell ref="K223:K227"/>
    <mergeCell ref="B229:B237"/>
    <mergeCell ref="B223:B227"/>
    <mergeCell ref="C223:C227"/>
    <mergeCell ref="D223:D227"/>
    <mergeCell ref="A251:K251"/>
    <mergeCell ref="A229:A237"/>
    <mergeCell ref="A223:A227"/>
    <mergeCell ref="C229:C237"/>
    <mergeCell ref="D229:D237"/>
    <mergeCell ref="K229:K237"/>
    <mergeCell ref="A238:A241"/>
    <mergeCell ref="B238:B241"/>
    <mergeCell ref="C238:C241"/>
    <mergeCell ref="D238:D241"/>
    <mergeCell ref="K238:K241"/>
    <mergeCell ref="A242:A243"/>
    <mergeCell ref="B242:B243"/>
    <mergeCell ref="C242:C243"/>
    <mergeCell ref="A244:A246"/>
    <mergeCell ref="B244:B246"/>
    <mergeCell ref="C244:C246"/>
    <mergeCell ref="D244:D246"/>
    <mergeCell ref="K244:K246"/>
    <mergeCell ref="B260:B266"/>
    <mergeCell ref="A330:K330"/>
    <mergeCell ref="A331:A342"/>
    <mergeCell ref="B331:B342"/>
    <mergeCell ref="C331:C342"/>
    <mergeCell ref="A252:A259"/>
    <mergeCell ref="B252:B259"/>
    <mergeCell ref="C252:C259"/>
    <mergeCell ref="D252:D259"/>
    <mergeCell ref="K252:K259"/>
    <mergeCell ref="A280:A284"/>
    <mergeCell ref="B280:B284"/>
    <mergeCell ref="C280:C284"/>
    <mergeCell ref="D280:D284"/>
    <mergeCell ref="K280:K284"/>
    <mergeCell ref="A285:A294"/>
    <mergeCell ref="B285:B294"/>
    <mergeCell ref="C285:C294"/>
    <mergeCell ref="D285:D294"/>
    <mergeCell ref="K285:K294"/>
    <mergeCell ref="A320:A329"/>
    <mergeCell ref="K260:K266"/>
    <mergeCell ref="C295:C304"/>
    <mergeCell ref="A308:A319"/>
    <mergeCell ref="B308:B319"/>
    <mergeCell ref="C308:C319"/>
    <mergeCell ref="D308:D319"/>
    <mergeCell ref="A482:A491"/>
    <mergeCell ref="B482:B491"/>
    <mergeCell ref="C482:C491"/>
    <mergeCell ref="D482:D491"/>
    <mergeCell ref="K482:K491"/>
    <mergeCell ref="A295:A304"/>
    <mergeCell ref="B295:B304"/>
    <mergeCell ref="K308:K319"/>
    <mergeCell ref="A481:K481"/>
    <mergeCell ref="C394:C405"/>
    <mergeCell ref="D394:D405"/>
    <mergeCell ref="D331:D342"/>
    <mergeCell ref="K331:K342"/>
    <mergeCell ref="A360:D360"/>
    <mergeCell ref="A362:K362"/>
    <mergeCell ref="A353:A359"/>
    <mergeCell ref="B353:B359"/>
    <mergeCell ref="K423:K432"/>
    <mergeCell ref="B320:B329"/>
    <mergeCell ref="C320:C329"/>
    <mergeCell ref="D320:D329"/>
    <mergeCell ref="A267:K267"/>
    <mergeCell ref="A268:A279"/>
    <mergeCell ref="B268:B279"/>
    <mergeCell ref="C268:C279"/>
    <mergeCell ref="D268:D279"/>
    <mergeCell ref="K268:K279"/>
    <mergeCell ref="A305:D305"/>
    <mergeCell ref="A306:K306"/>
    <mergeCell ref="A307:K307"/>
    <mergeCell ref="D295:D304"/>
    <mergeCell ref="K295:K304"/>
    <mergeCell ref="A505:A516"/>
    <mergeCell ref="B505:B516"/>
    <mergeCell ref="C505:C516"/>
    <mergeCell ref="D505:D516"/>
    <mergeCell ref="K505:K516"/>
    <mergeCell ref="A496:A502"/>
    <mergeCell ref="B496:B502"/>
    <mergeCell ref="C496:C502"/>
    <mergeCell ref="D496:D502"/>
    <mergeCell ref="K435:K446"/>
    <mergeCell ref="K895:K942"/>
    <mergeCell ref="D931:D942"/>
    <mergeCell ref="D811:D818"/>
    <mergeCell ref="C811:C818"/>
    <mergeCell ref="A811:A818"/>
    <mergeCell ref="A517:K517"/>
    <mergeCell ref="A518:A524"/>
    <mergeCell ref="B518:B524"/>
    <mergeCell ref="C518:C524"/>
    <mergeCell ref="A565:D565"/>
    <mergeCell ref="A551:A557"/>
    <mergeCell ref="K525:K531"/>
    <mergeCell ref="A532:A543"/>
    <mergeCell ref="B532:B543"/>
    <mergeCell ref="C532:C543"/>
    <mergeCell ref="D532:D543"/>
    <mergeCell ref="K532:K543"/>
    <mergeCell ref="A525:A531"/>
    <mergeCell ref="B525:B531"/>
    <mergeCell ref="C525:C531"/>
    <mergeCell ref="D525:D531"/>
    <mergeCell ref="A544:A550"/>
    <mergeCell ref="D518:D524"/>
    <mergeCell ref="A961:K961"/>
    <mergeCell ref="A962:A971"/>
    <mergeCell ref="B962:B971"/>
    <mergeCell ref="C962:C971"/>
    <mergeCell ref="D962:D971"/>
    <mergeCell ref="K962:K971"/>
    <mergeCell ref="A766:A772"/>
    <mergeCell ref="B766:B772"/>
    <mergeCell ref="C766:C772"/>
    <mergeCell ref="D766:D772"/>
    <mergeCell ref="K788:K799"/>
    <mergeCell ref="K776:K787"/>
    <mergeCell ref="K819:K856"/>
    <mergeCell ref="C866:C877"/>
    <mergeCell ref="A773:D773"/>
    <mergeCell ref="B919:B930"/>
    <mergeCell ref="C919:C930"/>
    <mergeCell ref="D919:D930"/>
    <mergeCell ref="D907:D918"/>
    <mergeCell ref="K866:K877"/>
    <mergeCell ref="D866:D877"/>
    <mergeCell ref="A819:A830"/>
    <mergeCell ref="B819:B830"/>
    <mergeCell ref="C819:C830"/>
    <mergeCell ref="A492:D493"/>
    <mergeCell ref="A662:D663"/>
    <mergeCell ref="A891:D892"/>
    <mergeCell ref="B447:B456"/>
    <mergeCell ref="C447:C456"/>
    <mergeCell ref="D447:D456"/>
    <mergeCell ref="K447:K456"/>
    <mergeCell ref="A457:D457"/>
    <mergeCell ref="A458:K458"/>
    <mergeCell ref="A459:A465"/>
    <mergeCell ref="B459:B465"/>
    <mergeCell ref="C459:C465"/>
    <mergeCell ref="D459:D465"/>
    <mergeCell ref="K459:K465"/>
    <mergeCell ref="A467:K467"/>
    <mergeCell ref="B468:B479"/>
    <mergeCell ref="C468:C479"/>
    <mergeCell ref="D468:D479"/>
    <mergeCell ref="A466:D466"/>
    <mergeCell ref="K468:K479"/>
    <mergeCell ref="K518:K524"/>
    <mergeCell ref="K496:K502"/>
    <mergeCell ref="A503:K503"/>
    <mergeCell ref="A504:K504"/>
  </mergeCells>
  <phoneticPr fontId="0" type="noConversion"/>
  <pageMargins left="0.74803149606299213" right="0.55118110236220474" top="0.78740157480314965" bottom="0.78740157480314965" header="0.51181102362204722" footer="0.51181102362204722"/>
  <pageSetup paperSize="9" scale="72" orientation="landscape" r:id="rId1"/>
  <headerFooter alignWithMargins="0"/>
  <rowBreaks count="46" manualBreakCount="46">
    <brk id="20" max="10" man="1"/>
    <brk id="45" max="10" man="1"/>
    <brk id="48" max="10" man="1"/>
    <brk id="81" max="10" man="1"/>
    <brk id="115" max="10" man="1"/>
    <brk id="125" max="10" man="1"/>
    <brk id="155" max="10" man="1"/>
    <brk id="167" max="10" man="1"/>
    <brk id="195" max="10" man="1"/>
    <brk id="208" max="10" man="1"/>
    <brk id="237" max="10" man="1"/>
    <brk id="241" max="10" man="1"/>
    <brk id="251" max="10" man="1"/>
    <brk id="259" max="10" man="1"/>
    <brk id="294" max="10" man="1"/>
    <brk id="305" max="10" man="1"/>
    <brk id="329" max="10" man="1"/>
    <brk id="342" max="10" man="1"/>
    <brk id="360" max="10" man="1"/>
    <brk id="393" max="10" man="1"/>
    <brk id="412" max="10" man="1"/>
    <brk id="433" max="10" man="1"/>
    <brk id="457" max="10" man="1"/>
    <brk id="466" max="10" man="1"/>
    <brk id="480" max="10" man="1"/>
    <brk id="493" max="10" man="1"/>
    <brk id="531" max="10" man="1"/>
    <brk id="543" max="10" man="1"/>
    <brk id="565" max="10" man="1"/>
    <brk id="587" max="10" man="1"/>
    <brk id="597" max="10" man="1"/>
    <brk id="635" max="10" man="1"/>
    <brk id="649" max="10" man="1"/>
    <brk id="663" max="10" man="1"/>
    <brk id="697" max="10" man="1"/>
    <brk id="710" max="10" man="1"/>
    <brk id="751" max="10" man="1"/>
    <brk id="765" max="10" man="1"/>
    <brk id="800" max="10" man="1"/>
    <brk id="818" max="10" man="1"/>
    <brk id="864" max="10" man="1"/>
    <brk id="890" max="10" man="1"/>
    <brk id="930" max="10" man="1"/>
    <brk id="959" max="10" man="1"/>
    <brk id="984" max="10" man="1"/>
    <brk id="99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4" sqref="B4"/>
    </sheetView>
  </sheetViews>
  <sheetFormatPr defaultRowHeight="12.75" x14ac:dyDescent="0.2"/>
  <cols>
    <col min="2" max="2" width="11.7109375" bestFit="1" customWidth="1"/>
    <col min="3" max="3" width="10.140625" bestFit="1" customWidth="1"/>
    <col min="4" max="4" width="10.140625" customWidth="1"/>
  </cols>
  <sheetData>
    <row r="1" spans="1:4" x14ac:dyDescent="0.2">
      <c r="B1" t="s">
        <v>424</v>
      </c>
    </row>
    <row r="2" spans="1:4" x14ac:dyDescent="0.2">
      <c r="B2">
        <v>2019</v>
      </c>
      <c r="C2">
        <v>2020</v>
      </c>
      <c r="D2">
        <v>2021</v>
      </c>
    </row>
    <row r="3" spans="1:4" x14ac:dyDescent="0.2">
      <c r="A3" t="s">
        <v>425</v>
      </c>
      <c r="B3" s="206">
        <f>'ноябрь 2019'!H215+'ноябрь 2019'!H233+'ноябрь 2019'!H263+'ноябрь 2019'!H272+'ноябрь 2019'!H282+'ноябрь 2019'!H287+'ноябрь 2019'!H297+'ноябрь 2019'!H312+'ноябрь 2019'!H322+'ноябрь 2019'!H335+'ноябрь 2019'!H345+'ноябрь 2019'!H367+'ноябрь 2019'!H379+'ноябрь 2019'!H391+'ноябрь 2019'!H398+'ноябрь 2019'!H409+'ноябрь 2019'!H415+'ноябрь 2019'!H425+'ноябрь 2019'!H439+'ноябрь 2019'!H449+'ноябрь 2019'!H463+'ноябрь 2019'!H472+'ноябрь 2019'!H484+'ноябрь 2019'!H256</f>
        <v>796558.1</v>
      </c>
      <c r="C3" s="205">
        <f>'ноябрь 2019'!H216+'ноябрь 2019'!H234+'ноябрь 2019'!H264+'ноябрь 2019'!H273+'ноябрь 2019'!H283+'ноябрь 2019'!H288+'ноябрь 2019'!H298+'ноябрь 2019'!H313+'ноябрь 2019'!H323+'ноябрь 2019'!H336+'ноябрь 2019'!H346+'ноябрь 2019'!H358+'ноябрь 2019'!H368+'ноябрь 2019'!H380+'ноябрь 2019'!H392+'ноябрь 2019'!H399+'ноябрь 2019'!H410+'ноябрь 2019'!H416+'ноябрь 2019'!H426+'ноябрь 2019'!H440+'ноябрь 2019'!H450+'ноябрь 2019'!H464+'ноябрь 2019'!H473+'ноябрь 2019'!H485</f>
        <v>805539.99999999977</v>
      </c>
      <c r="D3" s="206">
        <f>'ноябрь 2019'!H217+'ноябрь 2019'!H235+'ноябрь 2019'!H274+'ноябрь 2019'!H289+'ноябрь 2019'!H314+'ноябрь 2019'!H324+'ноябрь 2019'!H337+'ноябрь 2019'!H347+'ноябрь 2019'!H369+'ноябрь 2019'!H381+'ноябрь 2019'!H417+'ноябрь 2019'!H474</f>
        <v>835702.20000000007</v>
      </c>
    </row>
    <row r="4" spans="1:4" x14ac:dyDescent="0.2">
      <c r="B4" s="206"/>
      <c r="C4" s="205"/>
      <c r="D4" s="205"/>
    </row>
    <row r="5" spans="1:4" x14ac:dyDescent="0.2">
      <c r="A5" t="s">
        <v>426</v>
      </c>
      <c r="B5" s="206">
        <f>'ноябрь 2019'!I484+'ноябрь 2019'!I472+'ноябрь 2019'!I463+'ноябрь 2019'!I449+'ноябрь 2019'!I439+'ноябрь 2019'!I425+'ноябрь 2019'!I415+'ноябрь 2019'!I409+'ноябрь 2019'!I398+'ноябрь 2019'!I391+'ноябрь 2019'!I379+'ноябрь 2019'!I367+'ноябрь 2019'!I357+'ноябрь 2019'!I345+'ноябрь 2019'!I335+'ноябрь 2019'!I322+'ноябрь 2019'!I312+'ноябрь 2019'!I297+'ноябрь 2019'!I287+'ноябрь 2019'!I282+'ноябрь 2019'!I272+'ноябрь 2019'!I263+'ноябрь 2019'!I256+'ноябрь 2019'!I233+'ноябрь 2019'!I215</f>
        <v>142093.4</v>
      </c>
      <c r="C5" s="205">
        <f>'ноябрь 2019'!I485+'ноябрь 2019'!I473+'ноябрь 2019'!I464+'ноябрь 2019'!I450+'ноябрь 2019'!I440+'ноябрь 2019'!I426+'ноябрь 2019'!I416+'ноябрь 2019'!I410+'ноябрь 2019'!I399+'ноябрь 2019'!I392+'ноябрь 2019'!I380+'ноябрь 2019'!I368+'ноябрь 2019'!I358+'ноябрь 2019'!I346+'ноябрь 2019'!I336+'ноябрь 2019'!I323+'ноябрь 2019'!I313+'ноябрь 2019'!I298+'ноябрь 2019'!I288+'ноябрь 2019'!I283+'ноябрь 2019'!I273+'ноябрь 2019'!I264+'ноябрь 2019'!I234+'ноябрь 2019'!I216</f>
        <v>121175.29999999999</v>
      </c>
      <c r="D5" s="206">
        <f>'ноябрь 2019'!I486+'ноябрь 2019'!I474+'ноябрь 2019'!I451+'ноябрь 2019'!I441+'ноябрь 2019'!I427+'ноябрь 2019'!I417+'ноябрь 2019'!I411+'ноябрь 2019'!I400+'ноябрь 2019'!I381+'ноябрь 2019'!I369+'ноябрь 2019'!I347+'ноябрь 2019'!I337+'ноябрь 2019'!I324+'ноябрь 2019'!I314+'ноябрь 2019'!I299+'ноябрь 2019'!I289+'ноябрь 2019'!I274+'ноябрь 2019'!I265+'ноябрь 2019'!I258+'ноябрь 2019'!I235+'ноябрь 2019'!I217</f>
        <v>24618.2</v>
      </c>
    </row>
    <row r="6" spans="1:4" x14ac:dyDescent="0.2">
      <c r="B6" s="206"/>
      <c r="C6" s="205"/>
      <c r="D6" s="205"/>
    </row>
    <row r="7" spans="1:4" x14ac:dyDescent="0.2">
      <c r="A7" t="s">
        <v>427</v>
      </c>
      <c r="B7" s="205">
        <f>SUM(B3:B5)</f>
        <v>938651.5</v>
      </c>
      <c r="C7" s="205">
        <f>SUM(C3:C5)</f>
        <v>926715.29999999981</v>
      </c>
      <c r="D7" s="205">
        <f>SUM(D3:D5)</f>
        <v>860320.4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ноябрь 2019</vt:lpstr>
      <vt:lpstr>Лист1</vt:lpstr>
      <vt:lpstr>'ноябрь 2019'!Область_печати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Парубец Елена Анатольевна</cp:lastModifiedBy>
  <cp:lastPrinted>2020-02-20T05:22:53Z</cp:lastPrinted>
  <dcterms:created xsi:type="dcterms:W3CDTF">1996-10-08T23:32:33Z</dcterms:created>
  <dcterms:modified xsi:type="dcterms:W3CDTF">2020-02-20T05:26:16Z</dcterms:modified>
</cp:coreProperties>
</file>